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pivotTables/pivotTable2.xml" ContentType="application/vnd.openxmlformats-officedocument.spreadsheetml.pivotTable+xml"/>
  <Override PartName="/xl/customProperty10.bin" ContentType="application/vnd.openxmlformats-officedocument.spreadsheetml.customProperty"/>
  <Override PartName="/xl/comments2.xml" ContentType="application/vnd.openxmlformats-officedocument.spreadsheetml.comments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drawings/drawing2.xml" ContentType="application/vnd.openxmlformats-officedocument.drawing+xml"/>
  <Override PartName="/xl/customProperty14.bin" ContentType="application/vnd.openxmlformats-officedocument.spreadsheetml.customProperty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omments3.xml" ContentType="application/vnd.openxmlformats-officedocument.spreadsheetml.comments+xml"/>
  <Override PartName="/xl/customProperty20.bin" ContentType="application/vnd.openxmlformats-officedocument.spreadsheetml.customProperty"/>
  <Override PartName="/xl/comments4.xml" ContentType="application/vnd.openxmlformats-officedocument.spreadsheetml.comments+xml"/>
  <Override PartName="/xl/customProperty21.bin" ContentType="application/vnd.openxmlformats-officedocument.spreadsheetml.customProperty"/>
  <Override PartName="/xl/comments5.xml" ContentType="application/vnd.openxmlformats-officedocument.spreadsheetml.comments+xml"/>
  <Override PartName="/xl/customProperty22.bin" ContentType="application/vnd.openxmlformats-officedocument.spreadsheetml.customProperty"/>
  <Override PartName="/xl/pivotTables/pivotTable3.xml" ContentType="application/vnd.openxmlformats-officedocument.spreadsheetml.pivotTable+xml"/>
  <Override PartName="/xl/customProperty2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IPL\PRIVATE\CFG\03 Statutory Reporting\2023\2023 Stat Accounts - Year End\40. Compendium\02. Submitted\"/>
    </mc:Choice>
  </mc:AlternateContent>
  <xr:revisionPtr revIDLastSave="0" documentId="13_ncr:1_{5CB07010-E1AD-4ABB-8770-9E9FD47E1A06}" xr6:coauthVersionLast="47" xr6:coauthVersionMax="47" xr10:uidLastSave="{00000000-0000-0000-0000-000000000000}"/>
  <bookViews>
    <workbookView xWindow="-120" yWindow="-120" windowWidth="29040" windowHeight="15720" tabRatio="826" firstSheet="1" activeTab="1" xr2:uid="{00000000-000D-0000-FFFF-FFFF00000000}"/>
  </bookViews>
  <sheets>
    <sheet name="Group Financial performance v1" sheetId="13" state="hidden" r:id="rId1"/>
    <sheet name="Group Financial performance" sheetId="42" r:id="rId2"/>
    <sheet name="Group Balance sheet" sheetId="14" r:id="rId3"/>
    <sheet name="Group cash flow" sheetId="19" r:id="rId4"/>
    <sheet name="SEP 10 BS" sheetId="20" state="hidden" r:id="rId5"/>
    <sheet name="IPL Capex 2010" sheetId="21" state="hidden" r:id="rId6"/>
    <sheet name="CY differences" sheetId="22" state="hidden" r:id="rId7"/>
    <sheet name="Mar 08 rolling TWC" sheetId="24" state="hidden" r:id="rId8"/>
    <sheet name="IPL Capex 2011" sheetId="25" state="hidden" r:id="rId9"/>
    <sheet name="Operating net assets" sheetId="27" state="hidden" r:id="rId10"/>
    <sheet name="2008 ET report" sheetId="28" state="hidden" r:id="rId11"/>
    <sheet name="Mar 2008 ET report" sheetId="29" state="hidden" r:id="rId12"/>
    <sheet name="TWC-sales" sheetId="30" state="hidden" r:id="rId13"/>
    <sheet name="Mexico sales 2008" sheetId="31" state="hidden" r:id="rId14"/>
    <sheet name="Mexico BS 2008" sheetId="32" state="hidden" r:id="rId15"/>
    <sheet name="Indo" sheetId="35" state="hidden" r:id="rId16"/>
    <sheet name="PNG" sheetId="36" state="hidden" r:id="rId17"/>
    <sheet name="IPL 2008 BS" sheetId="37" state="hidden" r:id="rId18"/>
    <sheet name="DNAP 2008 BS" sheetId="38" state="hidden" r:id="rId19"/>
    <sheet name="DNA 2008 BS" sheetId="39" state="hidden" r:id="rId20"/>
    <sheet name="DN Corp 2008 BS" sheetId="40" state="hidden" r:id="rId21"/>
    <sheet name="IPL Sep 09 capex" sheetId="41" state="hidden" r:id="rId22"/>
  </sheets>
  <externalReferences>
    <externalReference r:id="rId23"/>
    <externalReference r:id="rId24"/>
  </externalReferences>
  <definedNames>
    <definedName name="ASX4E_10.1" localSheetId="1">'[1]ASX 4E_1,2,7,9,10,11'!#REF!</definedName>
    <definedName name="ASX4E_10.1">'[1]ASX 4E_1,2,7,9,10,11'!#REF!</definedName>
    <definedName name="ASX4E_10.2" localSheetId="1">'[1]ASX 4E_1,2,7,9,10,11'!#REF!</definedName>
    <definedName name="ASX4E_10.2">'[1]ASX 4E_1,2,7,9,10,11'!#REF!</definedName>
    <definedName name="ASX4E_11" localSheetId="1">'[1]ASX 4E_1,2,7,9,10,11'!#REF!</definedName>
    <definedName name="ASX4E_11">'[1]ASX 4E_1,2,7,9,10,11'!#REF!</definedName>
    <definedName name="ASX4E_7" localSheetId="1">'[1]ASX 4E_1,2,7,9,10,11'!#REF!</definedName>
    <definedName name="ASX4E_7">'[1]ASX 4E_1,2,7,9,10,11'!#REF!</definedName>
    <definedName name="ASX4E_9" localSheetId="1">'[1]ASX 4E_1,2,7,9,10,11'!#REF!</definedName>
    <definedName name="ASX4E_9">'[1]ASX 4E_1,2,7,9,10,11'!#REF!</definedName>
    <definedName name="ASX4E_BS_link" localSheetId="1">#REF!</definedName>
    <definedName name="ASX4E_BS_link">#REF!</definedName>
    <definedName name="EPS" localSheetId="1">[2]EPS!#REF!</definedName>
    <definedName name="EPS">[2]EPS!#REF!</definedName>
    <definedName name="For_the_year_ended_30_September_2003" localSheetId="1">CONCISE_BS_link</definedName>
    <definedName name="For_the_year_ended_30_September_2003">CONCISE_BS_link</definedName>
    <definedName name="NOTE_13_link" localSheetId="1">#REF!</definedName>
    <definedName name="NOTE_13_link">#REF!</definedName>
    <definedName name="NOTE_13_pg1.link" localSheetId="1">#REF!</definedName>
    <definedName name="NOTE_13_pg1.link">#REF!</definedName>
    <definedName name="NOTE_13_pg2.link" localSheetId="1">#REF!</definedName>
    <definedName name="NOTE_13_pg2.link">#REF!</definedName>
    <definedName name="NOTE_14_link" localSheetId="1">#REF!</definedName>
    <definedName name="NOTE_14_link">#REF!</definedName>
    <definedName name="NOTE_25_link" localSheetId="1">'[1]Notes 26 to 27'!#REF!</definedName>
    <definedName name="NOTE_25_link">'[1]Notes 26 to 27'!#REF!</definedName>
    <definedName name="NOTE_26_link" localSheetId="1">'[1]Notes 26 to 27'!#REF!</definedName>
    <definedName name="NOTE_26_link">'[1]Notes 26 to 27'!#REF!</definedName>
    <definedName name="NOTE_35" localSheetId="1">#REF!</definedName>
    <definedName name="NOTE_35">#REF!</definedName>
    <definedName name="NOTES_12_TO_13" localSheetId="1">#REF!</definedName>
    <definedName name="NOTES_12_TO_13">#REF!</definedName>
    <definedName name="Orica_Limited" localSheetId="1">[2]EPS!#REF!</definedName>
    <definedName name="Orica_Limited">[2]EPS!#REF!</definedName>
    <definedName name="_xlnm.Print_Area" localSheetId="6">'CY differences'!$A$1:$AE$52</definedName>
    <definedName name="_xlnm.Print_Area" localSheetId="2">'Group Balance sheet'!$A$1:$AD$42</definedName>
    <definedName name="_xlnm.Print_Area" localSheetId="3">'Group cash flow'!$A$1:$AE$36</definedName>
    <definedName name="_xlnm.Print_Area" localSheetId="1">'Group Financial performance'!$A$1:$AD$127</definedName>
    <definedName name="_xlnm.Print_Area" localSheetId="0">'Group Financial performance v1'!$A$1:$AP$105</definedName>
    <definedName name="_xlnm.Print_Area" localSheetId="8">'IPL Capex 2011'!$A$1:$J$30</definedName>
    <definedName name="_xlnm.Print_Area" localSheetId="9">'Operating net assets'!$A$1:$O$136</definedName>
    <definedName name="SCashflow" localSheetId="1">#REF!</definedName>
    <definedName name="SCashflow">#REF!</definedName>
    <definedName name="SCashflow_link" localSheetId="1">#REF!</definedName>
    <definedName name="SCashflow_link">#REF!</definedName>
    <definedName name="SPerformance" localSheetId="1">#REF!</definedName>
    <definedName name="SPerformance">#REF!</definedName>
    <definedName name="SPerformance_link" localSheetId="1">#REF!</definedName>
    <definedName name="SPerformance_link">#REF!</definedName>
    <definedName name="SPosition" localSheetId="1">#REF!</definedName>
    <definedName name="SPosition">#REF!</definedName>
    <definedName name="SPosition_link" localSheetId="1">#REF!</definedName>
    <definedName name="SPosition_link">#REF!</definedName>
  </definedNames>
  <calcPr calcId="191029" calcOnSave="0"/>
  <pivotCaches>
    <pivotCache cacheId="0" r:id="rId25"/>
    <pivotCache cacheId="1" r:id="rId26"/>
    <pivotCache cacheId="2" r:id="rId2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13" l="1" a="1"/>
  <c r="F65" i="13" a="1"/>
  <c r="F103" i="13" l="1"/>
  <c r="F65" i="13"/>
  <c r="F69" i="13" s="1"/>
  <c r="F80" i="13"/>
  <c r="F84" i="13" s="1"/>
  <c r="F51" i="13" l="1" a="1"/>
  <c r="F24" i="13" l="1" a="1"/>
  <c r="F24" i="13" s="1"/>
  <c r="F51" i="13"/>
  <c r="F28" i="13" l="1"/>
  <c r="F55" i="13"/>
  <c r="B114" i="13" l="1"/>
  <c r="B113" i="13"/>
  <c r="B111" i="13"/>
  <c r="B112" i="13" s="1"/>
  <c r="B109" i="13"/>
  <c r="B107" i="13"/>
  <c r="D105" i="13"/>
  <c r="D104" i="13"/>
  <c r="D103" i="13"/>
  <c r="D102" i="13"/>
  <c r="D101" i="13"/>
  <c r="D100" i="13"/>
  <c r="D99" i="13"/>
  <c r="D98" i="13"/>
  <c r="D97" i="13"/>
  <c r="D96" i="13"/>
  <c r="D91" i="13"/>
  <c r="D90" i="13"/>
  <c r="D89" i="13"/>
  <c r="D88" i="13"/>
  <c r="D84" i="13"/>
  <c r="D82" i="13"/>
  <c r="D80" i="13"/>
  <c r="D79" i="13"/>
  <c r="D78" i="13"/>
  <c r="D77" i="13"/>
  <c r="D75" i="13"/>
  <c r="D74" i="13"/>
  <c r="D73" i="13"/>
  <c r="D72" i="13"/>
  <c r="D69" i="13"/>
  <c r="D67" i="13"/>
  <c r="D65" i="13"/>
  <c r="D64" i="13"/>
  <c r="D63" i="13"/>
  <c r="D62" i="13"/>
  <c r="D60" i="13"/>
  <c r="D59" i="13"/>
  <c r="D58" i="13"/>
  <c r="D55" i="13"/>
  <c r="D53" i="13"/>
  <c r="D51" i="13"/>
  <c r="D50" i="13"/>
  <c r="D49" i="13"/>
  <c r="D48" i="13"/>
  <c r="D46" i="13"/>
  <c r="D45" i="13"/>
  <c r="D44" i="13"/>
  <c r="D43" i="13"/>
  <c r="D35" i="13"/>
  <c r="D34" i="13"/>
  <c r="D33" i="13"/>
  <c r="D32" i="13"/>
  <c r="D31" i="13"/>
  <c r="G28" i="13"/>
  <c r="D28" i="13"/>
  <c r="D26" i="13"/>
  <c r="D24" i="13"/>
  <c r="D23" i="13"/>
  <c r="D22" i="13"/>
  <c r="D21" i="13"/>
  <c r="D19" i="13"/>
  <c r="D18" i="13"/>
  <c r="D17" i="13"/>
  <c r="D16" i="13"/>
  <c r="D13" i="13"/>
  <c r="D12" i="13"/>
  <c r="D11" i="13"/>
  <c r="D10" i="13"/>
  <c r="D9" i="13"/>
  <c r="D7" i="13"/>
  <c r="D92" i="13" l="1"/>
  <c r="J11" i="13"/>
  <c r="J64" i="13" l="1"/>
  <c r="J13" i="13"/>
  <c r="J12" i="13"/>
  <c r="J10" i="13"/>
  <c r="J9" i="13"/>
  <c r="J7" i="13"/>
  <c r="L108" i="13"/>
  <c r="L110" i="13"/>
  <c r="P114" i="13"/>
  <c r="P113" i="13"/>
  <c r="P111" i="13"/>
  <c r="P110" i="13"/>
  <c r="P108" i="13"/>
  <c r="P107" i="13"/>
  <c r="P105" i="13"/>
  <c r="P104" i="13"/>
  <c r="P103" i="13"/>
  <c r="P102" i="13"/>
  <c r="P101" i="13"/>
  <c r="P100" i="13"/>
  <c r="P99" i="13"/>
  <c r="P98" i="13"/>
  <c r="P97" i="13"/>
  <c r="P96" i="13"/>
  <c r="P84" i="13"/>
  <c r="P82" i="13"/>
  <c r="P80" i="13"/>
  <c r="P79" i="13"/>
  <c r="P78" i="13"/>
  <c r="P77" i="13"/>
  <c r="P75" i="13"/>
  <c r="P74" i="13"/>
  <c r="P73" i="13"/>
  <c r="P72" i="13"/>
  <c r="P69" i="13"/>
  <c r="P67" i="13"/>
  <c r="P65" i="13"/>
  <c r="P64" i="13"/>
  <c r="P63" i="13"/>
  <c r="P62" i="13"/>
  <c r="P60" i="13"/>
  <c r="P59" i="13"/>
  <c r="P58" i="13"/>
  <c r="P55" i="13"/>
  <c r="P53" i="13"/>
  <c r="P51" i="13"/>
  <c r="P50" i="13"/>
  <c r="P49" i="13"/>
  <c r="P48" i="13"/>
  <c r="P46" i="13"/>
  <c r="P45" i="13"/>
  <c r="P44" i="13"/>
  <c r="P43" i="13"/>
  <c r="P35" i="13"/>
  <c r="P34" i="13"/>
  <c r="P33" i="13"/>
  <c r="P32" i="13"/>
  <c r="P31" i="13"/>
  <c r="P28" i="13"/>
  <c r="P26" i="13"/>
  <c r="P24" i="13"/>
  <c r="P23" i="13"/>
  <c r="P22" i="13"/>
  <c r="P21" i="13"/>
  <c r="P19" i="13"/>
  <c r="P18" i="13"/>
  <c r="P17" i="13"/>
  <c r="P16" i="13"/>
  <c r="P13" i="13"/>
  <c r="P12" i="13"/>
  <c r="P11" i="13"/>
  <c r="P10" i="13"/>
  <c r="P9" i="13"/>
  <c r="P7" i="13"/>
  <c r="J110" i="13" l="1"/>
  <c r="F110" i="13"/>
  <c r="D110" i="13" s="1"/>
  <c r="J108" i="13"/>
  <c r="F108" i="13"/>
  <c r="P109" i="13"/>
  <c r="P112" i="13"/>
  <c r="L109" i="13"/>
  <c r="F109" i="13" l="1"/>
  <c r="D108" i="13"/>
  <c r="D109" i="13" s="1"/>
  <c r="M28" i="13" l="1"/>
  <c r="T113" i="13" l="1"/>
  <c r="V113" i="13" s="1"/>
  <c r="V110" i="13"/>
  <c r="V108" i="13"/>
  <c r="T107" i="13" l="1"/>
  <c r="V107" i="13" s="1"/>
  <c r="T114" i="13"/>
  <c r="V114" i="13" s="1"/>
  <c r="T111" i="13"/>
  <c r="V109" i="13" l="1"/>
  <c r="T109" i="13"/>
  <c r="T112" i="13"/>
  <c r="V111" i="13"/>
  <c r="V112" i="13" l="1"/>
  <c r="BF108" i="13" l="1"/>
  <c r="BN108" i="13"/>
  <c r="BN107" i="13" s="1"/>
  <c r="BF110" i="13"/>
  <c r="BF111" i="13"/>
  <c r="BF113" i="13"/>
  <c r="BF114" i="13"/>
  <c r="BB45" i="13" l="1"/>
  <c r="B24" i="41"/>
  <c r="B25" i="40" l="1"/>
  <c r="B28" i="40" s="1"/>
  <c r="B24" i="40"/>
  <c r="B27" i="40" s="1"/>
  <c r="D12" i="39"/>
  <c r="B25" i="39" s="1"/>
  <c r="B28" i="39" s="1"/>
  <c r="C12" i="39"/>
  <c r="B24" i="39" s="1"/>
  <c r="B27" i="39" s="1"/>
  <c r="D12" i="38"/>
  <c r="B25" i="38" s="1"/>
  <c r="B28" i="38" s="1"/>
  <c r="C12" i="38"/>
  <c r="B24" i="38" s="1"/>
  <c r="B27" i="38" s="1"/>
  <c r="H849" i="37"/>
  <c r="G849" i="37"/>
  <c r="BF90" i="13"/>
  <c r="H15" i="36"/>
  <c r="H17" i="36" s="1"/>
  <c r="H16" i="35"/>
  <c r="H18" i="35" s="1"/>
  <c r="H6" i="36"/>
  <c r="H9" i="36" s="1"/>
  <c r="H5" i="36"/>
  <c r="H8" i="36" s="1"/>
  <c r="H6" i="35"/>
  <c r="H9" i="35" s="1"/>
  <c r="H5" i="35"/>
  <c r="H8" i="35" s="1"/>
  <c r="BD31" i="13" l="1"/>
  <c r="BB88" i="13"/>
  <c r="BD88" i="13"/>
  <c r="BF88" i="13" s="1"/>
  <c r="B23" i="31"/>
  <c r="B25" i="31" s="1"/>
  <c r="B25" i="32"/>
  <c r="B28" i="32" s="1"/>
  <c r="B24" i="32"/>
  <c r="B27" i="32" s="1"/>
  <c r="BH92" i="13"/>
  <c r="BH35" i="13"/>
  <c r="BB35" i="13"/>
  <c r="BF33" i="13"/>
  <c r="B25" i="25"/>
  <c r="M124" i="30"/>
  <c r="L124" i="30"/>
  <c r="K124" i="30"/>
  <c r="J124" i="30"/>
  <c r="I124" i="30"/>
  <c r="H124" i="30"/>
  <c r="M123" i="30"/>
  <c r="L123" i="30"/>
  <c r="K123" i="30"/>
  <c r="J123" i="30"/>
  <c r="I123" i="30"/>
  <c r="H123" i="30"/>
  <c r="M122" i="30"/>
  <c r="L122" i="30"/>
  <c r="K122" i="30"/>
  <c r="J122" i="30"/>
  <c r="I122" i="30"/>
  <c r="H122" i="30"/>
  <c r="S118" i="30"/>
  <c r="R118" i="30"/>
  <c r="Q118" i="30"/>
  <c r="S117" i="30"/>
  <c r="R117" i="30"/>
  <c r="Q117" i="30"/>
  <c r="S116" i="30"/>
  <c r="R116" i="30"/>
  <c r="Q116" i="30"/>
  <c r="S112" i="30"/>
  <c r="R112" i="30"/>
  <c r="Q112" i="30"/>
  <c r="P112" i="30"/>
  <c r="P124" i="30" s="1"/>
  <c r="O112" i="30"/>
  <c r="O124" i="30" s="1"/>
  <c r="N112" i="30"/>
  <c r="N124" i="30" s="1"/>
  <c r="S111" i="30"/>
  <c r="S123" i="30" s="1"/>
  <c r="R111" i="30"/>
  <c r="R123" i="30" s="1"/>
  <c r="Q111" i="30"/>
  <c r="P111" i="30"/>
  <c r="P123" i="30" s="1"/>
  <c r="O111" i="30"/>
  <c r="O123" i="30" s="1"/>
  <c r="N111" i="30"/>
  <c r="N123" i="30" s="1"/>
  <c r="S110" i="30"/>
  <c r="R110" i="30"/>
  <c r="Q110" i="30"/>
  <c r="P110" i="30"/>
  <c r="P122" i="30" s="1"/>
  <c r="O110" i="30"/>
  <c r="O122" i="30" s="1"/>
  <c r="N110" i="30"/>
  <c r="N122" i="30" s="1"/>
  <c r="M103" i="30"/>
  <c r="L103" i="30"/>
  <c r="K103" i="30"/>
  <c r="J103" i="30"/>
  <c r="I103" i="30"/>
  <c r="H103" i="30"/>
  <c r="M102" i="30"/>
  <c r="L102" i="30"/>
  <c r="K102" i="30"/>
  <c r="J102" i="30"/>
  <c r="I102" i="30"/>
  <c r="H102" i="30"/>
  <c r="M101" i="30"/>
  <c r="L101" i="30"/>
  <c r="K101" i="30"/>
  <c r="J101" i="30"/>
  <c r="I101" i="30"/>
  <c r="H101" i="30"/>
  <c r="C98" i="30"/>
  <c r="C104" i="30" s="1"/>
  <c r="S97" i="30"/>
  <c r="R97" i="30"/>
  <c r="Q97" i="30"/>
  <c r="P97" i="30"/>
  <c r="O97" i="30"/>
  <c r="N97" i="30"/>
  <c r="T118" i="30" s="1"/>
  <c r="S96" i="30"/>
  <c r="R96" i="30"/>
  <c r="Q96" i="30"/>
  <c r="P96" i="30"/>
  <c r="O96" i="30"/>
  <c r="N96" i="30"/>
  <c r="T117" i="30" s="1"/>
  <c r="S95" i="30"/>
  <c r="R95" i="30"/>
  <c r="Q95" i="30"/>
  <c r="P95" i="30"/>
  <c r="O95" i="30"/>
  <c r="N95" i="30"/>
  <c r="T116" i="30" s="1"/>
  <c r="S91" i="30"/>
  <c r="R91" i="30"/>
  <c r="O91" i="30"/>
  <c r="O103" i="30" s="1"/>
  <c r="N91" i="30"/>
  <c r="T112" i="30" s="1"/>
  <c r="S90" i="30"/>
  <c r="S102" i="30" s="1"/>
  <c r="R90" i="30"/>
  <c r="R102" i="30" s="1"/>
  <c r="O90" i="30"/>
  <c r="N90" i="30"/>
  <c r="T111" i="30" s="1"/>
  <c r="S89" i="30"/>
  <c r="R89" i="30"/>
  <c r="O89" i="30"/>
  <c r="O101" i="30" s="1"/>
  <c r="N89" i="30"/>
  <c r="T110" i="30" s="1"/>
  <c r="C83" i="30"/>
  <c r="M82" i="30"/>
  <c r="L82" i="30"/>
  <c r="I82" i="30"/>
  <c r="H82" i="30"/>
  <c r="M81" i="30"/>
  <c r="L81" i="30"/>
  <c r="I81" i="30"/>
  <c r="H81" i="30"/>
  <c r="M80" i="30"/>
  <c r="L80" i="30"/>
  <c r="I80" i="30"/>
  <c r="H80" i="30"/>
  <c r="S76" i="30"/>
  <c r="R76" i="30"/>
  <c r="Q76" i="30"/>
  <c r="P76" i="30"/>
  <c r="O76" i="30"/>
  <c r="S75" i="30"/>
  <c r="R75" i="30"/>
  <c r="Q75" i="30"/>
  <c r="P75" i="30"/>
  <c r="O75" i="30"/>
  <c r="T74" i="30"/>
  <c r="S74" i="30"/>
  <c r="R74" i="30"/>
  <c r="Q74" i="30"/>
  <c r="P74" i="30"/>
  <c r="O74" i="30"/>
  <c r="T70" i="30"/>
  <c r="S70" i="30"/>
  <c r="R70" i="30"/>
  <c r="Q70" i="30"/>
  <c r="P70" i="30"/>
  <c r="O70" i="30"/>
  <c r="N70" i="30"/>
  <c r="T91" i="30" s="1"/>
  <c r="K70" i="30"/>
  <c r="K82" i="30" s="1"/>
  <c r="J70" i="30"/>
  <c r="P91" i="30" s="1"/>
  <c r="T69" i="30"/>
  <c r="S69" i="30"/>
  <c r="R69" i="30"/>
  <c r="Q69" i="30"/>
  <c r="P69" i="30"/>
  <c r="O69" i="30"/>
  <c r="N69" i="30"/>
  <c r="T90" i="30" s="1"/>
  <c r="K69" i="30"/>
  <c r="K81" i="30" s="1"/>
  <c r="J69" i="30"/>
  <c r="P90" i="30" s="1"/>
  <c r="T68" i="30"/>
  <c r="T80" i="30" s="1"/>
  <c r="S68" i="30"/>
  <c r="S80" i="30" s="1"/>
  <c r="R68" i="30"/>
  <c r="Q68" i="30"/>
  <c r="Q80" i="30" s="1"/>
  <c r="P68" i="30"/>
  <c r="P80" i="30" s="1"/>
  <c r="O68" i="30"/>
  <c r="O80" i="30" s="1"/>
  <c r="N68" i="30"/>
  <c r="T89" i="30" s="1"/>
  <c r="K68" i="30"/>
  <c r="K80" i="30" s="1"/>
  <c r="J68" i="30"/>
  <c r="P89" i="30" s="1"/>
  <c r="C62" i="30"/>
  <c r="M61" i="30"/>
  <c r="L61" i="30"/>
  <c r="K61" i="30"/>
  <c r="J61" i="30"/>
  <c r="I61" i="30"/>
  <c r="M60" i="30"/>
  <c r="L60" i="30"/>
  <c r="K60" i="30"/>
  <c r="J60" i="30"/>
  <c r="I60" i="30"/>
  <c r="N59" i="30"/>
  <c r="M59" i="30"/>
  <c r="L59" i="30"/>
  <c r="K59" i="30"/>
  <c r="J59" i="30"/>
  <c r="I59" i="30"/>
  <c r="N55" i="30"/>
  <c r="N61" i="30" s="1"/>
  <c r="H55" i="30"/>
  <c r="H61" i="30" s="1"/>
  <c r="S54" i="30"/>
  <c r="R54" i="30"/>
  <c r="Q54" i="30"/>
  <c r="P54" i="30"/>
  <c r="O54" i="30"/>
  <c r="N54" i="30"/>
  <c r="N60" i="30" s="1"/>
  <c r="H54" i="30"/>
  <c r="H60" i="30" s="1"/>
  <c r="S53" i="30"/>
  <c r="R53" i="30"/>
  <c r="Q53" i="30"/>
  <c r="P53" i="30"/>
  <c r="O53" i="30"/>
  <c r="H53" i="30"/>
  <c r="H59" i="30" s="1"/>
  <c r="S49" i="30"/>
  <c r="R49" i="30"/>
  <c r="Q49" i="30"/>
  <c r="P49" i="30"/>
  <c r="O49" i="30"/>
  <c r="S48" i="30"/>
  <c r="R48" i="30"/>
  <c r="Q48" i="30"/>
  <c r="P48" i="30"/>
  <c r="O48" i="30"/>
  <c r="S47" i="30"/>
  <c r="S59" i="30" s="1"/>
  <c r="R47" i="30"/>
  <c r="R59" i="30" s="1"/>
  <c r="Q47" i="30"/>
  <c r="Q59" i="30" s="1"/>
  <c r="P47" i="30"/>
  <c r="P59" i="30" s="1"/>
  <c r="O47" i="30"/>
  <c r="O59" i="30" s="1"/>
  <c r="C41" i="30"/>
  <c r="M39" i="30"/>
  <c r="L39" i="30"/>
  <c r="K39" i="30"/>
  <c r="J39" i="30"/>
  <c r="I39" i="30"/>
  <c r="M38" i="30"/>
  <c r="L38" i="30"/>
  <c r="K38" i="30"/>
  <c r="J38" i="30"/>
  <c r="I38" i="30"/>
  <c r="H38" i="30"/>
  <c r="M34" i="30"/>
  <c r="S55" i="30" s="1"/>
  <c r="L34" i="30"/>
  <c r="R55" i="30" s="1"/>
  <c r="K34" i="30"/>
  <c r="Q55" i="30" s="1"/>
  <c r="J34" i="30"/>
  <c r="P55" i="30" s="1"/>
  <c r="I34" i="30"/>
  <c r="O55" i="30" s="1"/>
  <c r="H34" i="30"/>
  <c r="H40" i="30" s="1"/>
  <c r="H33" i="30"/>
  <c r="H39" i="30" s="1"/>
  <c r="C20" i="30"/>
  <c r="Q123" i="30" l="1"/>
  <c r="O60" i="30"/>
  <c r="R101" i="30"/>
  <c r="R103" i="30"/>
  <c r="S60" i="30"/>
  <c r="R60" i="30"/>
  <c r="O102" i="30"/>
  <c r="Q81" i="30"/>
  <c r="BB89" i="13"/>
  <c r="BB91" i="13" s="1"/>
  <c r="BD89" i="13"/>
  <c r="BF89" i="13" s="1"/>
  <c r="R122" i="30"/>
  <c r="R81" i="30"/>
  <c r="Q82" i="30"/>
  <c r="S101" i="30"/>
  <c r="Q60" i="30"/>
  <c r="O81" i="30"/>
  <c r="S81" i="30"/>
  <c r="S103" i="30"/>
  <c r="BD32" i="13"/>
  <c r="BD34" i="13"/>
  <c r="BF34" i="13" s="1"/>
  <c r="G69" i="30"/>
  <c r="F69" i="30" s="1"/>
  <c r="B69" i="30" s="1"/>
  <c r="P60" i="30"/>
  <c r="R80" i="30"/>
  <c r="P81" i="30"/>
  <c r="G68" i="30"/>
  <c r="F68" i="30" s="1"/>
  <c r="B68" i="30" s="1"/>
  <c r="G70" i="30"/>
  <c r="F70" i="30" s="1"/>
  <c r="B70" i="30" s="1"/>
  <c r="O82" i="30"/>
  <c r="S82" i="30"/>
  <c r="R124" i="30"/>
  <c r="O61" i="30"/>
  <c r="Q61" i="30"/>
  <c r="S61" i="30"/>
  <c r="P82" i="30"/>
  <c r="R82" i="30"/>
  <c r="G116" i="30"/>
  <c r="F116" i="30" s="1"/>
  <c r="B116" i="30" s="1"/>
  <c r="G118" i="30"/>
  <c r="F118" i="30" s="1"/>
  <c r="B118" i="30" s="1"/>
  <c r="Q122" i="30"/>
  <c r="S122" i="30"/>
  <c r="Q124" i="30"/>
  <c r="S124" i="30"/>
  <c r="N34" i="30"/>
  <c r="O34" i="30"/>
  <c r="P34" i="30"/>
  <c r="Q34" i="30"/>
  <c r="R34" i="30"/>
  <c r="S34" i="30"/>
  <c r="T34" i="30"/>
  <c r="P101" i="30"/>
  <c r="P103" i="30"/>
  <c r="T122" i="30"/>
  <c r="G110" i="30"/>
  <c r="F110" i="30" s="1"/>
  <c r="T123" i="30"/>
  <c r="G123" i="30" s="1"/>
  <c r="G111" i="30"/>
  <c r="F111" i="30" s="1"/>
  <c r="G117" i="30"/>
  <c r="F117" i="30" s="1"/>
  <c r="B117" i="30" s="1"/>
  <c r="P61" i="30"/>
  <c r="R61" i="30"/>
  <c r="P102" i="30"/>
  <c r="T124" i="30"/>
  <c r="G112" i="30"/>
  <c r="F112" i="30" s="1"/>
  <c r="I40" i="30"/>
  <c r="K40" i="30"/>
  <c r="M40" i="30"/>
  <c r="N74" i="30"/>
  <c r="N80" i="30" s="1"/>
  <c r="N75" i="30"/>
  <c r="N81" i="30" s="1"/>
  <c r="T75" i="30"/>
  <c r="T81" i="30" s="1"/>
  <c r="N76" i="30"/>
  <c r="N82" i="30" s="1"/>
  <c r="T76" i="30"/>
  <c r="T82" i="30" s="1"/>
  <c r="J80" i="30"/>
  <c r="J81" i="30"/>
  <c r="J82" i="30"/>
  <c r="Q89" i="30"/>
  <c r="Q101" i="30" s="1"/>
  <c r="Q90" i="30"/>
  <c r="Q102" i="30" s="1"/>
  <c r="Q91" i="30"/>
  <c r="Q103" i="30" s="1"/>
  <c r="N101" i="30"/>
  <c r="N102" i="30"/>
  <c r="N103" i="30"/>
  <c r="J40" i="30"/>
  <c r="L40" i="30"/>
  <c r="G13" i="30"/>
  <c r="F13" i="30" s="1"/>
  <c r="B13" i="30" s="1"/>
  <c r="BD91" i="13" l="1"/>
  <c r="BF91" i="13" s="1"/>
  <c r="G122" i="30"/>
  <c r="B71" i="30"/>
  <c r="D71" i="30" s="1"/>
  <c r="Y49" i="30" s="1"/>
  <c r="B119" i="30"/>
  <c r="D119" i="30" s="1"/>
  <c r="W48" i="30" s="1"/>
  <c r="G124" i="30"/>
  <c r="G80" i="30"/>
  <c r="F80" i="30" s="1"/>
  <c r="G81" i="30"/>
  <c r="F81" i="30" s="1"/>
  <c r="BD35" i="13"/>
  <c r="G91" i="30"/>
  <c r="F91" i="30" s="1"/>
  <c r="B91" i="30" s="1"/>
  <c r="G89" i="30"/>
  <c r="F89" i="30" s="1"/>
  <c r="B89" i="30" s="1"/>
  <c r="N33" i="30"/>
  <c r="O33" i="30"/>
  <c r="P33" i="30"/>
  <c r="Q33" i="30"/>
  <c r="R33" i="30"/>
  <c r="S33" i="30"/>
  <c r="T33" i="30"/>
  <c r="G82" i="30"/>
  <c r="F82" i="30" s="1"/>
  <c r="X49" i="30"/>
  <c r="F123" i="30"/>
  <c r="B123" i="30" s="1"/>
  <c r="B111" i="30"/>
  <c r="F122" i="30"/>
  <c r="B122" i="30" s="1"/>
  <c r="B110" i="30"/>
  <c r="T97" i="30"/>
  <c r="G76" i="30"/>
  <c r="F76" i="30" s="1"/>
  <c r="B76" i="30" s="1"/>
  <c r="B82" i="30" s="1"/>
  <c r="T96" i="30"/>
  <c r="G75" i="30"/>
  <c r="F75" i="30" s="1"/>
  <c r="B75" i="30" s="1"/>
  <c r="B81" i="30" s="1"/>
  <c r="F124" i="30"/>
  <c r="B124" i="30" s="1"/>
  <c r="B112" i="30"/>
  <c r="T55" i="30"/>
  <c r="G55" i="30" s="1"/>
  <c r="F55" i="30" s="1"/>
  <c r="B55" i="30" s="1"/>
  <c r="G34" i="30"/>
  <c r="F34" i="30" s="1"/>
  <c r="B34" i="30" s="1"/>
  <c r="G90" i="30"/>
  <c r="F90" i="30" s="1"/>
  <c r="T95" i="30"/>
  <c r="G74" i="30"/>
  <c r="F74" i="30" s="1"/>
  <c r="B74" i="30" s="1"/>
  <c r="G12" i="30"/>
  <c r="F12" i="30" s="1"/>
  <c r="B12" i="30" s="1"/>
  <c r="N32" i="30" l="1"/>
  <c r="O32" i="30"/>
  <c r="P32" i="30"/>
  <c r="Q32" i="30"/>
  <c r="R32" i="30"/>
  <c r="S32" i="30"/>
  <c r="T32" i="30"/>
  <c r="B77" i="30"/>
  <c r="D77" i="30" s="1"/>
  <c r="B80" i="30"/>
  <c r="B83" i="30" s="1"/>
  <c r="D83" i="30" s="1"/>
  <c r="G95" i="30"/>
  <c r="F95" i="30" s="1"/>
  <c r="T101" i="30"/>
  <c r="G101" i="30" s="1"/>
  <c r="B90" i="30"/>
  <c r="G96" i="30"/>
  <c r="F96" i="30" s="1"/>
  <c r="B96" i="30" s="1"/>
  <c r="T102" i="30"/>
  <c r="G102" i="30" s="1"/>
  <c r="G97" i="30"/>
  <c r="F97" i="30" s="1"/>
  <c r="T103" i="30"/>
  <c r="G103" i="30" s="1"/>
  <c r="G33" i="30"/>
  <c r="F33" i="30" s="1"/>
  <c r="B33" i="30" s="1"/>
  <c r="T54" i="30"/>
  <c r="G54" i="30" s="1"/>
  <c r="F54" i="30" s="1"/>
  <c r="B54" i="30" s="1"/>
  <c r="B113" i="30"/>
  <c r="D113" i="30" s="1"/>
  <c r="W49" i="30" s="1"/>
  <c r="B125" i="30"/>
  <c r="D125" i="30" s="1"/>
  <c r="W50" i="30" s="1"/>
  <c r="G11" i="30"/>
  <c r="F11" i="30" s="1"/>
  <c r="B11" i="30" s="1"/>
  <c r="B14" i="30" s="1"/>
  <c r="D14" i="30" s="1"/>
  <c r="AB48" i="30" s="1"/>
  <c r="B102" i="30" l="1"/>
  <c r="H19" i="30"/>
  <c r="N28" i="30"/>
  <c r="O28" i="30"/>
  <c r="O40" i="30" s="1"/>
  <c r="I19" i="30"/>
  <c r="J19" i="30"/>
  <c r="P28" i="30"/>
  <c r="P40" i="30" s="1"/>
  <c r="Q28" i="30"/>
  <c r="Q40" i="30" s="1"/>
  <c r="K19" i="30"/>
  <c r="L19" i="30"/>
  <c r="R28" i="30"/>
  <c r="R40" i="30" s="1"/>
  <c r="S28" i="30"/>
  <c r="S40" i="30" s="1"/>
  <c r="M19" i="30"/>
  <c r="T28" i="30"/>
  <c r="T40" i="30" s="1"/>
  <c r="N19" i="30"/>
  <c r="O19" i="30"/>
  <c r="P19" i="30"/>
  <c r="Q19" i="30"/>
  <c r="R19" i="30"/>
  <c r="S19" i="30"/>
  <c r="T19" i="30"/>
  <c r="X50" i="30"/>
  <c r="Y50" i="30"/>
  <c r="B97" i="30"/>
  <c r="B103" i="30" s="1"/>
  <c r="F103" i="30"/>
  <c r="B95" i="30"/>
  <c r="F101" i="30"/>
  <c r="Y48" i="30"/>
  <c r="X48" i="30"/>
  <c r="T53" i="30"/>
  <c r="G53" i="30" s="1"/>
  <c r="F53" i="30" s="1"/>
  <c r="B53" i="30" s="1"/>
  <c r="B56" i="30" s="1"/>
  <c r="D56" i="30" s="1"/>
  <c r="Z48" i="30" s="1"/>
  <c r="G32" i="30"/>
  <c r="F32" i="30" s="1"/>
  <c r="B32" i="30" s="1"/>
  <c r="B35" i="30" s="1"/>
  <c r="D35" i="30" s="1"/>
  <c r="AA48" i="30" s="1"/>
  <c r="B92" i="30"/>
  <c r="D92" i="30" s="1"/>
  <c r="F102" i="30"/>
  <c r="G7" i="30"/>
  <c r="F7" i="30" s="1"/>
  <c r="B7" i="30" s="1"/>
  <c r="B19" i="30" s="1"/>
  <c r="H18" i="30" l="1"/>
  <c r="N27" i="30"/>
  <c r="O27" i="30"/>
  <c r="O39" i="30" s="1"/>
  <c r="I18" i="30"/>
  <c r="J18" i="30"/>
  <c r="P27" i="30"/>
  <c r="P39" i="30" s="1"/>
  <c r="Q27" i="30"/>
  <c r="Q39" i="30" s="1"/>
  <c r="K18" i="30"/>
  <c r="L18" i="30"/>
  <c r="R27" i="30"/>
  <c r="R39" i="30" s="1"/>
  <c r="S27" i="30"/>
  <c r="S39" i="30" s="1"/>
  <c r="M18" i="30"/>
  <c r="T27" i="30"/>
  <c r="T39" i="30" s="1"/>
  <c r="N18" i="30"/>
  <c r="O18" i="30"/>
  <c r="P18" i="30"/>
  <c r="Q18" i="30"/>
  <c r="R18" i="30"/>
  <c r="S18" i="30"/>
  <c r="T18" i="30"/>
  <c r="T49" i="30"/>
  <c r="G28" i="30"/>
  <c r="F28" i="30" s="1"/>
  <c r="B28" i="30" s="1"/>
  <c r="B40" i="30" s="1"/>
  <c r="N40" i="30"/>
  <c r="G40" i="30" s="1"/>
  <c r="F40" i="30" s="1"/>
  <c r="B98" i="30"/>
  <c r="D98" i="30" s="1"/>
  <c r="B101" i="30"/>
  <c r="B104" i="30" s="1"/>
  <c r="D104" i="30" s="1"/>
  <c r="G19" i="30"/>
  <c r="F19" i="30" s="1"/>
  <c r="G6" i="30"/>
  <c r="F6" i="30" s="1"/>
  <c r="B6" i="30" s="1"/>
  <c r="B18" i="30" s="1"/>
  <c r="H17" i="30" l="1"/>
  <c r="N26" i="30"/>
  <c r="O26" i="30"/>
  <c r="O38" i="30" s="1"/>
  <c r="I17" i="30"/>
  <c r="J17" i="30"/>
  <c r="P26" i="30"/>
  <c r="P38" i="30" s="1"/>
  <c r="Q26" i="30"/>
  <c r="Q38" i="30" s="1"/>
  <c r="K17" i="30"/>
  <c r="L17" i="30"/>
  <c r="R26" i="30"/>
  <c r="R38" i="30" s="1"/>
  <c r="S26" i="30"/>
  <c r="S38" i="30" s="1"/>
  <c r="M17" i="30"/>
  <c r="T26" i="30"/>
  <c r="T38" i="30" s="1"/>
  <c r="N17" i="30"/>
  <c r="O17" i="30"/>
  <c r="P17" i="30"/>
  <c r="Q17" i="30"/>
  <c r="R17" i="30"/>
  <c r="S17" i="30"/>
  <c r="T17" i="30"/>
  <c r="G27" i="30"/>
  <c r="F27" i="30" s="1"/>
  <c r="B27" i="30" s="1"/>
  <c r="B39" i="30" s="1"/>
  <c r="T48" i="30"/>
  <c r="N39" i="30"/>
  <c r="G39" i="30" s="1"/>
  <c r="F39" i="30" s="1"/>
  <c r="T61" i="30"/>
  <c r="G61" i="30" s="1"/>
  <c r="F61" i="30" s="1"/>
  <c r="G49" i="30"/>
  <c r="F49" i="30" s="1"/>
  <c r="B49" i="30" s="1"/>
  <c r="B61" i="30" s="1"/>
  <c r="G18" i="30"/>
  <c r="F18" i="30" s="1"/>
  <c r="G5" i="30"/>
  <c r="F5" i="30" s="1"/>
  <c r="B5" i="30" s="1"/>
  <c r="B17" i="30" l="1"/>
  <c r="B20" i="30" s="1"/>
  <c r="D20" i="30" s="1"/>
  <c r="AB50" i="30" s="1"/>
  <c r="B8" i="30"/>
  <c r="D8" i="30" s="1"/>
  <c r="AB49" i="30" s="1"/>
  <c r="T60" i="30"/>
  <c r="G60" i="30" s="1"/>
  <c r="F60" i="30" s="1"/>
  <c r="G48" i="30"/>
  <c r="F48" i="30" s="1"/>
  <c r="B48" i="30" s="1"/>
  <c r="B60" i="30" s="1"/>
  <c r="T47" i="30"/>
  <c r="G26" i="30"/>
  <c r="F26" i="30" s="1"/>
  <c r="B26" i="30" s="1"/>
  <c r="N38" i="30"/>
  <c r="G38" i="30" s="1"/>
  <c r="F38" i="30" s="1"/>
  <c r="G17" i="30"/>
  <c r="F17" i="30" s="1"/>
  <c r="B29" i="30" l="1"/>
  <c r="D29" i="30" s="1"/>
  <c r="AA49" i="30" s="1"/>
  <c r="B38" i="30"/>
  <c r="B41" i="30" s="1"/>
  <c r="D41" i="30" s="1"/>
  <c r="AA50" i="30" s="1"/>
  <c r="T59" i="30"/>
  <c r="G59" i="30" s="1"/>
  <c r="F59" i="30" s="1"/>
  <c r="G47" i="30"/>
  <c r="F47" i="30" s="1"/>
  <c r="B47" i="30" s="1"/>
  <c r="BL103" i="13"/>
  <c r="BL100" i="13"/>
  <c r="J66" i="28"/>
  <c r="M66" i="28"/>
  <c r="J58" i="28"/>
  <c r="M57" i="28"/>
  <c r="D58" i="28"/>
  <c r="J56" i="28"/>
  <c r="H56" i="28"/>
  <c r="H58" i="28" s="1"/>
  <c r="H52" i="28" s="1"/>
  <c r="M55" i="28"/>
  <c r="D56" i="28"/>
  <c r="J52" i="28"/>
  <c r="M51" i="28"/>
  <c r="M50" i="28"/>
  <c r="F50" i="28"/>
  <c r="J49" i="28"/>
  <c r="H49" i="28"/>
  <c r="M48" i="28"/>
  <c r="D49" i="28"/>
  <c r="M46" i="28"/>
  <c r="M45" i="28"/>
  <c r="J42" i="28"/>
  <c r="H42" i="28"/>
  <c r="E42" i="28"/>
  <c r="M42" i="28" s="1"/>
  <c r="D42" i="28"/>
  <c r="J40" i="28"/>
  <c r="H40" i="28"/>
  <c r="E40" i="28"/>
  <c r="M40" i="28" s="1"/>
  <c r="D40" i="28"/>
  <c r="J38" i="28"/>
  <c r="H38" i="28"/>
  <c r="E38" i="28"/>
  <c r="M38" i="28" s="1"/>
  <c r="D38" i="28"/>
  <c r="J36" i="28"/>
  <c r="H36" i="28"/>
  <c r="E36" i="28"/>
  <c r="M36" i="28" s="1"/>
  <c r="M33" i="28"/>
  <c r="M32" i="28"/>
  <c r="D34" i="28"/>
  <c r="J23" i="28"/>
  <c r="H23" i="28"/>
  <c r="E23" i="28"/>
  <c r="M23" i="28" s="1"/>
  <c r="J20" i="28"/>
  <c r="H20" i="28"/>
  <c r="E20" i="28"/>
  <c r="M17" i="28"/>
  <c r="L17" i="28"/>
  <c r="M16" i="28"/>
  <c r="L16" i="28"/>
  <c r="N17" i="28" l="1"/>
  <c r="M37" i="28"/>
  <c r="L22" i="28"/>
  <c r="M22" i="28"/>
  <c r="J34" i="28"/>
  <c r="J25" i="28"/>
  <c r="E34" i="28"/>
  <c r="M34" i="28" s="1"/>
  <c r="L33" i="28"/>
  <c r="N33" i="28" s="1"/>
  <c r="M41" i="28"/>
  <c r="J47" i="28"/>
  <c r="L19" i="28"/>
  <c r="M19" i="28"/>
  <c r="H34" i="28"/>
  <c r="L34" i="28" s="1"/>
  <c r="F35" i="28"/>
  <c r="M35" i="28"/>
  <c r="F45" i="28"/>
  <c r="D47" i="28"/>
  <c r="E47" i="28"/>
  <c r="M47" i="28" s="1"/>
  <c r="M39" i="28"/>
  <c r="H47" i="28"/>
  <c r="D52" i="28"/>
  <c r="L52" i="28" s="1"/>
  <c r="F66" i="28"/>
  <c r="N66" i="28" s="1"/>
  <c r="B59" i="30"/>
  <c r="B62" i="30" s="1"/>
  <c r="D62" i="30" s="1"/>
  <c r="Z50" i="30" s="1"/>
  <c r="B50" i="30"/>
  <c r="D50" i="30" s="1"/>
  <c r="Z49" i="30" s="1"/>
  <c r="F40" i="28"/>
  <c r="L40" i="28"/>
  <c r="N40" i="28" s="1"/>
  <c r="L56" i="28"/>
  <c r="L58" i="28"/>
  <c r="H25" i="28"/>
  <c r="E25" i="28"/>
  <c r="M20" i="28"/>
  <c r="F38" i="28"/>
  <c r="L38" i="28"/>
  <c r="N38" i="28" s="1"/>
  <c r="F42" i="28"/>
  <c r="L42" i="28"/>
  <c r="N42" i="28" s="1"/>
  <c r="L49" i="28"/>
  <c r="N16" i="28"/>
  <c r="F19" i="28"/>
  <c r="D20" i="28"/>
  <c r="F22" i="28"/>
  <c r="D23" i="28"/>
  <c r="F32" i="28"/>
  <c r="F33" i="28"/>
  <c r="D36" i="28"/>
  <c r="L32" i="28"/>
  <c r="N32" i="28" s="1"/>
  <c r="L35" i="28"/>
  <c r="L37" i="28"/>
  <c r="N37" i="28" s="1"/>
  <c r="L39" i="28"/>
  <c r="L41" i="28"/>
  <c r="L45" i="28"/>
  <c r="N45" i="28" s="1"/>
  <c r="L46" i="28"/>
  <c r="N46" i="28" s="1"/>
  <c r="L48" i="28"/>
  <c r="N48" i="28" s="1"/>
  <c r="E49" i="28"/>
  <c r="M49" i="28" s="1"/>
  <c r="L50" i="28"/>
  <c r="N50" i="28" s="1"/>
  <c r="L51" i="28"/>
  <c r="N51" i="28" s="1"/>
  <c r="E52" i="28"/>
  <c r="M52" i="28" s="1"/>
  <c r="L55" i="28"/>
  <c r="N55" i="28" s="1"/>
  <c r="E56" i="28"/>
  <c r="M56" i="28" s="1"/>
  <c r="L57" i="28"/>
  <c r="N57" i="28" s="1"/>
  <c r="E58" i="28"/>
  <c r="M58" i="28" s="1"/>
  <c r="L66" i="28"/>
  <c r="F76" i="28"/>
  <c r="F37" i="28"/>
  <c r="F39" i="28"/>
  <c r="F41" i="28"/>
  <c r="F46" i="28"/>
  <c r="F48" i="28"/>
  <c r="F51" i="28"/>
  <c r="F55" i="28"/>
  <c r="F57" i="28"/>
  <c r="BJ28" i="13" l="1"/>
  <c r="BL28" i="13" s="1"/>
  <c r="N35" i="28"/>
  <c r="J44" i="28"/>
  <c r="J54" i="28" s="1"/>
  <c r="J60" i="28" s="1"/>
  <c r="N19" i="28"/>
  <c r="N22" i="28"/>
  <c r="N39" i="28"/>
  <c r="F34" i="28"/>
  <c r="F47" i="28"/>
  <c r="N34" i="28"/>
  <c r="N41" i="28"/>
  <c r="L47" i="28"/>
  <c r="N47" i="28" s="1"/>
  <c r="L36" i="28"/>
  <c r="N36" i="28" s="1"/>
  <c r="F36" i="28"/>
  <c r="N49" i="28"/>
  <c r="F58" i="28"/>
  <c r="F56" i="28"/>
  <c r="F52" i="28"/>
  <c r="L23" i="28"/>
  <c r="N23" i="28" s="1"/>
  <c r="F23" i="28"/>
  <c r="F75" i="28"/>
  <c r="L20" i="28"/>
  <c r="N20" i="28" s="1"/>
  <c r="D25" i="28"/>
  <c r="F20" i="28"/>
  <c r="E69" i="28"/>
  <c r="E44" i="28"/>
  <c r="E30" i="28"/>
  <c r="E27" i="28"/>
  <c r="M25" i="28"/>
  <c r="H69" i="28"/>
  <c r="J69" i="28" s="1"/>
  <c r="H44" i="28"/>
  <c r="H30" i="28"/>
  <c r="J30" i="28" s="1"/>
  <c r="F49" i="28"/>
  <c r="N58" i="28"/>
  <c r="N56" i="28"/>
  <c r="N52" i="28"/>
  <c r="BJ108" i="13" l="1"/>
  <c r="BL108" i="13" s="1"/>
  <c r="H70" i="28"/>
  <c r="J70" i="28" s="1"/>
  <c r="H54" i="28"/>
  <c r="H60" i="28" s="1"/>
  <c r="M69" i="28"/>
  <c r="M30" i="28"/>
  <c r="D69" i="28"/>
  <c r="F69" i="28" s="1"/>
  <c r="D44" i="28"/>
  <c r="L25" i="28"/>
  <c r="D30" i="28"/>
  <c r="F30" i="28" s="1"/>
  <c r="D27" i="28"/>
  <c r="F25" i="28"/>
  <c r="M27" i="28"/>
  <c r="F80" i="28"/>
  <c r="M44" i="28"/>
  <c r="E70" i="28"/>
  <c r="E54" i="28"/>
  <c r="BJ107" i="13" l="1"/>
  <c r="BL107" i="13" s="1"/>
  <c r="M54" i="28"/>
  <c r="E60" i="28"/>
  <c r="M60" i="28" s="1"/>
  <c r="M72" i="28"/>
  <c r="M70" i="28"/>
  <c r="M71" i="28"/>
  <c r="L27" i="28"/>
  <c r="N27" i="28" s="1"/>
  <c r="F27" i="28"/>
  <c r="F79" i="28" s="1"/>
  <c r="L69" i="28"/>
  <c r="N69" i="28" s="1"/>
  <c r="L30" i="28"/>
  <c r="N30" i="28" s="1"/>
  <c r="N25" i="28"/>
  <c r="D70" i="28"/>
  <c r="F70" i="28" s="1"/>
  <c r="D54" i="28"/>
  <c r="F44" i="28"/>
  <c r="L44" i="28"/>
  <c r="L72" i="28" l="1"/>
  <c r="N72" i="28" s="1"/>
  <c r="L70" i="28"/>
  <c r="N70" i="28" s="1"/>
  <c r="N44" i="28"/>
  <c r="L71" i="28"/>
  <c r="N71" i="28" s="1"/>
  <c r="D60" i="28"/>
  <c r="F54" i="28"/>
  <c r="L54" i="28"/>
  <c r="N54" i="28" s="1"/>
  <c r="F60" i="28" l="1"/>
  <c r="L60" i="28"/>
  <c r="N60" i="28" s="1"/>
  <c r="E127" i="27" l="1"/>
  <c r="B22" i="25" l="1"/>
  <c r="B23" i="25"/>
  <c r="B28" i="25"/>
  <c r="B29" i="25"/>
  <c r="E134" i="27" l="1"/>
  <c r="E130" i="27"/>
  <c r="E131" i="27"/>
  <c r="E129" i="27"/>
  <c r="E132" i="27"/>
  <c r="E128" i="27"/>
  <c r="E125" i="27"/>
  <c r="E133" i="27"/>
  <c r="E126" i="27"/>
  <c r="E59" i="27"/>
  <c r="E97" i="27"/>
  <c r="E116" i="27"/>
  <c r="E19" i="27"/>
  <c r="E39" i="27"/>
  <c r="E78" i="27"/>
  <c r="E135" i="27" l="1"/>
  <c r="BF9" i="13"/>
  <c r="BF10" i="13"/>
  <c r="BF11" i="13"/>
  <c r="BF13" i="13"/>
  <c r="BF7" i="13"/>
  <c r="I48" i="22" l="1"/>
  <c r="I46" i="22"/>
  <c r="I39" i="22"/>
  <c r="I38" i="22"/>
  <c r="I33" i="22"/>
  <c r="I28" i="22"/>
  <c r="I31" i="22" s="1"/>
  <c r="I26" i="22"/>
  <c r="I18" i="22"/>
  <c r="I13" i="22"/>
  <c r="I16" i="22" s="1"/>
  <c r="I10" i="22"/>
  <c r="I9" i="22"/>
  <c r="I8" i="22"/>
  <c r="BD45" i="13"/>
  <c r="K46" i="22"/>
  <c r="K41" i="22"/>
  <c r="K31" i="22"/>
  <c r="K26" i="22"/>
  <c r="K16" i="22"/>
  <c r="K11" i="22"/>
  <c r="G48" i="22"/>
  <c r="G46" i="22"/>
  <c r="G40" i="22"/>
  <c r="G41" i="22" s="1"/>
  <c r="G31" i="22"/>
  <c r="G26" i="22"/>
  <c r="G18" i="22"/>
  <c r="G16" i="22"/>
  <c r="G10" i="22"/>
  <c r="G11" i="22" s="1"/>
  <c r="E46" i="22"/>
  <c r="E41" i="22"/>
  <c r="E31" i="22"/>
  <c r="E26" i="22"/>
  <c r="E16" i="22"/>
  <c r="E11" i="22"/>
  <c r="C46" i="22"/>
  <c r="C41" i="22"/>
  <c r="C31" i="22"/>
  <c r="C26" i="22"/>
  <c r="C16" i="22"/>
  <c r="C11" i="22"/>
  <c r="BD53" i="13"/>
  <c r="BD48" i="13"/>
  <c r="BD51" i="13" s="1"/>
  <c r="BD62" i="13"/>
  <c r="BD67" i="13"/>
  <c r="BD82" i="13"/>
  <c r="G35" i="22" l="1"/>
  <c r="I41" i="22"/>
  <c r="C20" i="22"/>
  <c r="C50" i="22"/>
  <c r="E35" i="22"/>
  <c r="K35" i="22"/>
  <c r="I11" i="22"/>
  <c r="I20" i="22" s="1"/>
  <c r="C35" i="22"/>
  <c r="E20" i="22"/>
  <c r="E50" i="22"/>
  <c r="G20" i="22"/>
  <c r="G50" i="22"/>
  <c r="K20" i="22"/>
  <c r="K50" i="22"/>
  <c r="I35" i="22"/>
  <c r="I50" i="22"/>
  <c r="T20" i="24" l="1"/>
  <c r="S20" i="24"/>
  <c r="R20" i="24"/>
  <c r="Q20" i="24"/>
  <c r="P20" i="24"/>
  <c r="O20" i="24"/>
  <c r="N20" i="24"/>
  <c r="T19" i="24"/>
  <c r="S19" i="24"/>
  <c r="R19" i="24"/>
  <c r="Q19" i="24"/>
  <c r="P19" i="24"/>
  <c r="O19" i="24"/>
  <c r="N19" i="24"/>
  <c r="T18" i="24"/>
  <c r="S18" i="24"/>
  <c r="R18" i="24"/>
  <c r="Q18" i="24"/>
  <c r="P18" i="24"/>
  <c r="O18" i="24"/>
  <c r="N18" i="24"/>
  <c r="G14" i="24"/>
  <c r="F14" i="24" s="1"/>
  <c r="B14" i="24" s="1"/>
  <c r="G13" i="24"/>
  <c r="F13" i="24" s="1"/>
  <c r="B13" i="24" s="1"/>
  <c r="G12" i="24"/>
  <c r="F12" i="24" s="1"/>
  <c r="B12" i="24" s="1"/>
  <c r="G8" i="24"/>
  <c r="F8" i="24" s="1"/>
  <c r="G7" i="24"/>
  <c r="F7" i="24" s="1"/>
  <c r="G6" i="24"/>
  <c r="F6" i="24" s="1"/>
  <c r="Q21" i="24" l="1"/>
  <c r="O21" i="24"/>
  <c r="S21" i="24"/>
  <c r="G18" i="24"/>
  <c r="P21" i="24"/>
  <c r="R21" i="24"/>
  <c r="T21" i="24"/>
  <c r="G20" i="24"/>
  <c r="B15" i="24"/>
  <c r="D15" i="24" s="1"/>
  <c r="G19" i="24"/>
  <c r="N21" i="24"/>
  <c r="B6" i="24"/>
  <c r="F18" i="24"/>
  <c r="B18" i="24" s="1"/>
  <c r="B8" i="24"/>
  <c r="F20" i="24"/>
  <c r="B20" i="24" s="1"/>
  <c r="F19" i="24"/>
  <c r="B19" i="24" s="1"/>
  <c r="B7" i="24"/>
  <c r="G21" i="24" l="1"/>
  <c r="F21" i="24" s="1"/>
  <c r="B9" i="24"/>
  <c r="D9" i="24" s="1"/>
  <c r="B21" i="24"/>
  <c r="D21" i="24" s="1"/>
  <c r="BD44" i="13" l="1"/>
  <c r="BD43" i="13"/>
  <c r="BB53" i="13"/>
  <c r="BD72" i="13"/>
  <c r="BD73" i="13"/>
  <c r="BB82" i="13"/>
  <c r="BB74" i="13"/>
  <c r="AA15" i="22" l="1"/>
  <c r="AA14" i="22"/>
  <c r="AA13" i="22"/>
  <c r="AA10" i="22"/>
  <c r="AA9" i="22"/>
  <c r="AA8" i="22"/>
  <c r="W15" i="22"/>
  <c r="W14" i="22"/>
  <c r="W13" i="22"/>
  <c r="W9" i="22"/>
  <c r="W10" i="22"/>
  <c r="W8" i="22"/>
  <c r="AE26" i="22"/>
  <c r="AC26" i="22"/>
  <c r="Y26" i="22"/>
  <c r="AC31" i="22"/>
  <c r="Y31" i="22"/>
  <c r="Q46" i="22"/>
  <c r="Q41" i="22"/>
  <c r="M41" i="22"/>
  <c r="M46" i="22"/>
  <c r="M11" i="22"/>
  <c r="W11" i="22" s="1"/>
  <c r="M16" i="22"/>
  <c r="W16" i="22" s="1"/>
  <c r="Q16" i="22"/>
  <c r="AA16" i="22" s="1"/>
  <c r="Q11" i="22"/>
  <c r="AA11" i="22" s="1"/>
  <c r="M26" i="22"/>
  <c r="AE18" i="22"/>
  <c r="AD18" i="22"/>
  <c r="AC18" i="22"/>
  <c r="AB18" i="22"/>
  <c r="AA18" i="22"/>
  <c r="Z18" i="22"/>
  <c r="Y18" i="22"/>
  <c r="X18" i="22"/>
  <c r="W18" i="22"/>
  <c r="AD16" i="22"/>
  <c r="AC16" i="22"/>
  <c r="AB16" i="22"/>
  <c r="Z16" i="22"/>
  <c r="Y16" i="22"/>
  <c r="X16" i="22"/>
  <c r="X11" i="22"/>
  <c r="Y11" i="22"/>
  <c r="Z11" i="22"/>
  <c r="AB11" i="22"/>
  <c r="AD11" i="22"/>
  <c r="AE11" i="22"/>
  <c r="AE41" i="22"/>
  <c r="AC46" i="22"/>
  <c r="Y46" i="22"/>
  <c r="AC48" i="22"/>
  <c r="AC40" i="22"/>
  <c r="AC39" i="22"/>
  <c r="AC38" i="22"/>
  <c r="AC33" i="22"/>
  <c r="Y48" i="22"/>
  <c r="Y40" i="22"/>
  <c r="Y39" i="22"/>
  <c r="Y38" i="22"/>
  <c r="Y33" i="22"/>
  <c r="AE48" i="22"/>
  <c r="AE45" i="22"/>
  <c r="AE44" i="22"/>
  <c r="AE43" i="22"/>
  <c r="AE33" i="22"/>
  <c r="AA48" i="22"/>
  <c r="AA45" i="22"/>
  <c r="AA44" i="22"/>
  <c r="AA43" i="22"/>
  <c r="AA40" i="22"/>
  <c r="AA39" i="22"/>
  <c r="AA38" i="22"/>
  <c r="AA33" i="22"/>
  <c r="AA30" i="22"/>
  <c r="AA29" i="22"/>
  <c r="AA28" i="22"/>
  <c r="AA25" i="22"/>
  <c r="AA24" i="22"/>
  <c r="AA23" i="22"/>
  <c r="W48" i="22"/>
  <c r="W45" i="22"/>
  <c r="W44" i="22"/>
  <c r="W43" i="22"/>
  <c r="W40" i="22"/>
  <c r="W39" i="22"/>
  <c r="W38" i="22"/>
  <c r="W33" i="22"/>
  <c r="W30" i="22"/>
  <c r="W29" i="22"/>
  <c r="W28" i="22"/>
  <c r="W25" i="22"/>
  <c r="W24" i="22"/>
  <c r="W23" i="22"/>
  <c r="U46" i="22"/>
  <c r="S41" i="22"/>
  <c r="S50" i="22" s="1"/>
  <c r="O41" i="22"/>
  <c r="O50" i="22" s="1"/>
  <c r="U31" i="22"/>
  <c r="AE31" i="22" s="1"/>
  <c r="Q31" i="22"/>
  <c r="M31" i="22"/>
  <c r="Q26" i="22"/>
  <c r="U16" i="22"/>
  <c r="AE16" i="22" s="1"/>
  <c r="S20" i="22"/>
  <c r="O20" i="22"/>
  <c r="AC11" i="22"/>
  <c r="BF32" i="13"/>
  <c r="BF31" i="13"/>
  <c r="BF82" i="13"/>
  <c r="BF79" i="13"/>
  <c r="BF78" i="13"/>
  <c r="BF77" i="13"/>
  <c r="BF74" i="13"/>
  <c r="BF73" i="13"/>
  <c r="BF72" i="13"/>
  <c r="BF67" i="13"/>
  <c r="BF64" i="13"/>
  <c r="BF63" i="13"/>
  <c r="BF62" i="13"/>
  <c r="BF59" i="13"/>
  <c r="BF58" i="13"/>
  <c r="BF53" i="13"/>
  <c r="BF50" i="13"/>
  <c r="BF49" i="13"/>
  <c r="BF48" i="13"/>
  <c r="BF45" i="13"/>
  <c r="BF44" i="13"/>
  <c r="BF43" i="13"/>
  <c r="BF23" i="13"/>
  <c r="BF22" i="13"/>
  <c r="BF21" i="13"/>
  <c r="BF18" i="13"/>
  <c r="BF17" i="13"/>
  <c r="BF16" i="13"/>
  <c r="W26" i="22" l="1"/>
  <c r="W31" i="22"/>
  <c r="AC41" i="22"/>
  <c r="AC50" i="22" s="1"/>
  <c r="AA26" i="22"/>
  <c r="BF35" i="13"/>
  <c r="Q20" i="22"/>
  <c r="BF51" i="13"/>
  <c r="BF92" i="13"/>
  <c r="M20" i="22"/>
  <c r="AA41" i="22"/>
  <c r="BF80" i="13"/>
  <c r="BF19" i="13"/>
  <c r="AE46" i="22"/>
  <c r="AE50" i="22" s="1"/>
  <c r="Y41" i="22"/>
  <c r="Y50" i="22" s="1"/>
  <c r="W41" i="22"/>
  <c r="BF24" i="13"/>
  <c r="BF46" i="13"/>
  <c r="BF60" i="13"/>
  <c r="BF65" i="13"/>
  <c r="BF75" i="13"/>
  <c r="BF84" i="13" s="1"/>
  <c r="AA31" i="22"/>
  <c r="Q35" i="22"/>
  <c r="M35" i="22"/>
  <c r="W46" i="22"/>
  <c r="W50" i="22" s="1"/>
  <c r="AA46" i="22"/>
  <c r="M50" i="22"/>
  <c r="Q50" i="22"/>
  <c r="U50" i="22"/>
  <c r="O35" i="22"/>
  <c r="S35" i="22"/>
  <c r="AA20" i="22"/>
  <c r="AC20" i="22"/>
  <c r="AC35" i="22"/>
  <c r="Y20" i="22"/>
  <c r="Y35" i="22"/>
  <c r="AE20" i="22"/>
  <c r="AE35" i="22"/>
  <c r="W20" i="22"/>
  <c r="W35" i="22" l="1"/>
  <c r="AA50" i="22"/>
  <c r="AA35" i="22"/>
  <c r="BF55" i="13"/>
  <c r="BF28" i="13"/>
  <c r="BF69" i="13"/>
  <c r="P19" i="20"/>
  <c r="P7" i="20"/>
  <c r="P18" i="20"/>
  <c r="P9" i="20"/>
  <c r="BF105" i="13"/>
  <c r="BF102" i="13"/>
  <c r="BF101" i="13"/>
  <c r="BF99" i="13"/>
  <c r="BF97" i="13"/>
  <c r="BH80" i="13"/>
  <c r="BB80" i="13"/>
  <c r="BH75" i="13"/>
  <c r="BB75" i="13"/>
  <c r="BH65" i="13"/>
  <c r="BB65" i="13"/>
  <c r="BH60" i="13"/>
  <c r="BB60" i="13"/>
  <c r="BI43" i="13"/>
  <c r="BH51" i="13"/>
  <c r="BB51" i="13"/>
  <c r="BH46" i="13"/>
  <c r="BB46" i="13"/>
  <c r="BH24" i="13"/>
  <c r="BB24" i="13"/>
  <c r="BH19" i="13"/>
  <c r="BB19" i="13"/>
  <c r="BD80" i="13"/>
  <c r="BD75" i="13"/>
  <c r="BD65" i="13"/>
  <c r="BD60" i="13"/>
  <c r="BD46" i="13"/>
  <c r="BD55" i="13" s="1"/>
  <c r="BD24" i="13"/>
  <c r="BD19" i="13"/>
  <c r="BD84" i="13" l="1"/>
  <c r="BD96" i="13" s="1"/>
  <c r="BB28" i="13"/>
  <c r="BB109" i="13" s="1"/>
  <c r="BF112" i="13"/>
  <c r="BF109" i="13"/>
  <c r="BD69" i="13"/>
  <c r="BD28" i="13"/>
  <c r="BH28" i="13"/>
  <c r="BH55" i="13"/>
  <c r="BB69" i="13"/>
  <c r="BH69" i="13"/>
  <c r="BH84" i="13"/>
  <c r="BH96" i="13" s="1"/>
  <c r="BB55" i="13"/>
  <c r="BB84" i="13"/>
  <c r="BB96" i="13" s="1"/>
  <c r="BB98" i="13" s="1"/>
  <c r="BB100" i="13" s="1"/>
  <c r="BF96" i="13" l="1"/>
  <c r="BH98" i="13"/>
  <c r="BH100" i="13" s="1"/>
  <c r="BD98" i="13"/>
  <c r="BD100" i="13" s="1"/>
  <c r="BB112" i="13"/>
  <c r="BB107" i="13"/>
  <c r="BH107" i="13"/>
  <c r="BH109" i="13"/>
  <c r="BH112" i="13"/>
  <c r="BD107" i="13"/>
  <c r="BD109" i="13"/>
  <c r="BD112" i="13"/>
  <c r="BB103" i="13"/>
  <c r="BD103" i="13" l="1"/>
  <c r="BF98" i="13"/>
  <c r="BF107" i="13"/>
  <c r="BF100" i="13"/>
  <c r="BH103" i="13"/>
  <c r="BF103" i="13" l="1"/>
  <c r="B21" i="21" l="1"/>
  <c r="B24" i="21"/>
  <c r="B27" i="21"/>
  <c r="B22" i="21"/>
  <c r="B25" i="21"/>
  <c r="P8" i="20" l="1"/>
  <c r="P11" i="20" s="1"/>
  <c r="T9" i="20"/>
  <c r="G11" i="20"/>
  <c r="I11" i="20"/>
  <c r="K11" i="20"/>
  <c r="P13" i="20"/>
  <c r="T13" i="20"/>
  <c r="T5" i="20"/>
  <c r="G15" i="20"/>
  <c r="T6" i="20" s="1"/>
  <c r="I20" i="20"/>
  <c r="K20" i="20"/>
  <c r="P21" i="20"/>
  <c r="I27" i="20"/>
  <c r="K27" i="20"/>
  <c r="BB104" i="13"/>
  <c r="BD104" i="13"/>
  <c r="BH104" i="13"/>
  <c r="I22" i="20" l="1"/>
  <c r="P23" i="20"/>
  <c r="K22" i="20"/>
  <c r="G20" i="20"/>
  <c r="G22" i="20" s="1"/>
  <c r="G26" i="20" s="1"/>
  <c r="G27" i="20" s="1"/>
  <c r="P26" i="20"/>
  <c r="T11" i="20"/>
  <c r="BF104" i="13"/>
  <c r="T21" i="20"/>
  <c r="T23" i="20" s="1"/>
  <c r="C20" i="20"/>
  <c r="C11" i="20"/>
  <c r="C22" i="20" l="1"/>
  <c r="C26" i="20" s="1"/>
  <c r="C27" i="20" s="1"/>
  <c r="J21" i="13" l="1"/>
  <c r="J99" i="13" l="1"/>
  <c r="J101" i="13" l="1"/>
  <c r="J23" i="13" l="1"/>
  <c r="J17" i="13" l="1"/>
  <c r="J26" i="13"/>
  <c r="J59" i="13"/>
  <c r="J44" i="13"/>
  <c r="J50" i="13"/>
  <c r="J45" i="13"/>
  <c r="J49" i="13"/>
  <c r="J18" i="13"/>
  <c r="J63" i="13"/>
  <c r="J97" i="13"/>
  <c r="J22" i="13" l="1"/>
  <c r="J24" i="13"/>
  <c r="J48" i="13"/>
  <c r="J51" i="13"/>
  <c r="J16" i="13"/>
  <c r="J43" i="13"/>
  <c r="J46" i="13"/>
  <c r="J58" i="13"/>
  <c r="J60" i="13"/>
  <c r="J53" i="13"/>
  <c r="J62" i="13"/>
  <c r="J65" i="13"/>
  <c r="J67" i="13"/>
  <c r="J19" i="13" l="1"/>
  <c r="J69" i="13"/>
  <c r="H113" i="13"/>
  <c r="L113" i="13" s="1"/>
  <c r="J55" i="13"/>
  <c r="H111" i="13"/>
  <c r="J90" i="13"/>
  <c r="J33" i="13"/>
  <c r="J32" i="13"/>
  <c r="J113" i="13" l="1"/>
  <c r="F113" i="13"/>
  <c r="D113" i="13" s="1"/>
  <c r="J79" i="13"/>
  <c r="J89" i="13"/>
  <c r="J74" i="13"/>
  <c r="J28" i="13"/>
  <c r="J109" i="13" s="1"/>
  <c r="H109" i="13"/>
  <c r="H107" i="13"/>
  <c r="J73" i="13"/>
  <c r="J78" i="13"/>
  <c r="L111" i="13"/>
  <c r="H112" i="13"/>
  <c r="J91" i="13"/>
  <c r="J34" i="13"/>
  <c r="L112" i="13" l="1"/>
  <c r="F111" i="13"/>
  <c r="L107" i="13"/>
  <c r="J111" i="13"/>
  <c r="J112" i="13" s="1"/>
  <c r="J88" i="13"/>
  <c r="J92" i="13" s="1"/>
  <c r="J72" i="13"/>
  <c r="J75" i="13"/>
  <c r="J31" i="13"/>
  <c r="J35" i="13"/>
  <c r="J77" i="13"/>
  <c r="J80" i="13"/>
  <c r="J102" i="13"/>
  <c r="J107" i="13" l="1"/>
  <c r="F107" i="13"/>
  <c r="D107" i="13" s="1"/>
  <c r="F112" i="13"/>
  <c r="D111" i="13"/>
  <c r="D112" i="13" s="1"/>
  <c r="J82" i="13"/>
  <c r="J84" i="13" l="1"/>
  <c r="J96" i="13" l="1"/>
  <c r="H114" i="13"/>
  <c r="L114" i="13" s="1"/>
  <c r="J114" i="13" l="1"/>
  <c r="F114" i="13"/>
  <c r="D114" i="13" s="1"/>
  <c r="J98" i="13"/>
  <c r="J103" i="13" l="1"/>
  <c r="J100" i="13"/>
  <c r="J105" i="13" l="1"/>
  <c r="J104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cxo1</author>
    <author>dxb4</author>
  </authors>
  <commentList>
    <comment ref="C1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Transaction costs on SFA transferred to net debt.</t>
        </r>
      </text>
    </comment>
    <comment ref="C14" authorId="1" shapeId="0" xr:uid="{00000000-0006-0000-0400-000002000000}">
      <text>
        <r>
          <rPr>
            <b/>
            <sz val="8"/>
            <color indexed="81"/>
            <rFont val="Tahoma"/>
            <family val="2"/>
          </rPr>
          <t>dxb4:</t>
        </r>
        <r>
          <rPr>
            <sz val="8"/>
            <color indexed="81"/>
            <rFont val="Tahoma"/>
            <family val="2"/>
          </rPr>
          <t xml:space="preserve">
Transfer of DNA capital creditors from TWC to NTWC
and $1m PPA adjustment</t>
        </r>
      </text>
    </comment>
    <comment ref="C19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cxo1:</t>
        </r>
        <r>
          <rPr>
            <sz val="8"/>
            <color indexed="81"/>
            <rFont val="Tahoma"/>
            <family val="2"/>
          </rPr>
          <t xml:space="preserve">
DNA non trade working capital</t>
        </r>
      </text>
    </comment>
    <comment ref="C24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Transaction costs on SFA transferred to net debt.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dxb4</author>
  </authors>
  <commentList>
    <comment ref="B25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dxb4:</t>
        </r>
        <r>
          <rPr>
            <sz val="8"/>
            <color indexed="81"/>
            <rFont val="Tahoma"/>
            <family val="2"/>
          </rPr>
          <t xml:space="preserve">
Includes $1.5m for Phos Hill bunker which was manually adjusted in 30/9/10 stat accounts (DR provisions, cr PPE). This was actually disposed of in 2011 FY.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dxb4</author>
  </authors>
  <commentList>
    <comment ref="A1" authorId="0" shapeId="0" xr:uid="{00000000-0006-0000-1100-000001000000}">
      <text>
        <r>
          <rPr>
            <b/>
            <sz val="8"/>
            <color indexed="81"/>
            <rFont val="Tahoma"/>
            <family val="2"/>
          </rPr>
          <t>Hierarchy Level</t>
        </r>
      </text>
    </comment>
    <comment ref="B1" authorId="0" shapeId="0" xr:uid="{00000000-0006-0000-1100-000002000000}">
      <text>
        <r>
          <rPr>
            <b/>
            <sz val="8"/>
            <color indexed="81"/>
            <rFont val="Tahoma"/>
            <family val="2"/>
          </rPr>
          <t>Financial statement item</t>
        </r>
      </text>
    </comment>
    <comment ref="C1" authorId="0" shapeId="0" xr:uid="{00000000-0006-0000-1100-000003000000}">
      <text>
        <r>
          <rPr>
            <b/>
            <sz val="8"/>
            <color indexed="81"/>
            <rFont val="Tahoma"/>
            <family val="2"/>
          </rPr>
          <t>Company Code</t>
        </r>
      </text>
    </comment>
    <comment ref="D1" authorId="0" shapeId="0" xr:uid="{00000000-0006-0000-1100-000004000000}">
      <text>
        <r>
          <rPr>
            <b/>
            <sz val="8"/>
            <color indexed="81"/>
            <rFont val="Tahoma"/>
            <family val="2"/>
          </rPr>
          <t>Business Area</t>
        </r>
      </text>
    </comment>
    <comment ref="E1" authorId="0" shapeId="0" xr:uid="{00000000-0006-0000-1100-000005000000}">
      <text>
        <r>
          <rPr>
            <b/>
            <sz val="8"/>
            <color indexed="81"/>
            <rFont val="Tahoma"/>
            <family val="2"/>
          </rPr>
          <t>Account number</t>
        </r>
      </text>
    </comment>
    <comment ref="F1" authorId="0" shapeId="0" xr:uid="{00000000-0006-0000-1100-000006000000}">
      <text>
        <r>
          <rPr>
            <b/>
            <sz val="8"/>
            <color indexed="81"/>
            <rFont val="Tahoma"/>
            <family val="2"/>
          </rPr>
          <t>Text for B/S P&amp;L item</t>
        </r>
      </text>
    </comment>
    <comment ref="G1" authorId="0" shapeId="0" xr:uid="{00000000-0006-0000-1100-000007000000}">
      <text>
        <r>
          <rPr>
            <b/>
            <sz val="8"/>
            <color indexed="81"/>
            <rFont val="Tahoma"/>
            <family val="2"/>
          </rPr>
          <t>Total of reporting period</t>
        </r>
      </text>
    </comment>
    <comment ref="H1" authorId="0" shapeId="0" xr:uid="{00000000-0006-0000-1100-000008000000}">
      <text>
        <r>
          <rPr>
            <b/>
            <sz val="8"/>
            <color indexed="81"/>
            <rFont val="Tahoma"/>
            <family val="2"/>
          </rPr>
          <t>Total of the comparison period</t>
        </r>
      </text>
    </comment>
    <comment ref="I1" authorId="0" shapeId="0" xr:uid="{00000000-0006-0000-1100-000009000000}">
      <text>
        <r>
          <rPr>
            <b/>
            <sz val="8"/>
            <color indexed="81"/>
            <rFont val="Tahoma"/>
            <family val="2"/>
          </rPr>
          <t>Absolute difference</t>
        </r>
      </text>
    </comment>
    <comment ref="J1" authorId="0" shapeId="0" xr:uid="{00000000-0006-0000-1100-00000A000000}">
      <text>
        <r>
          <rPr>
            <b/>
            <sz val="8"/>
            <color indexed="81"/>
            <rFont val="Tahoma"/>
            <family val="2"/>
          </rPr>
          <t>Percentage difference</t>
        </r>
      </text>
    </comment>
    <comment ref="K1" authorId="0" shapeId="0" xr:uid="{00000000-0006-0000-1100-00000B000000}">
      <text>
        <r>
          <rPr>
            <b/>
            <sz val="8"/>
            <color indexed="81"/>
            <rFont val="Tahoma"/>
            <family val="2"/>
          </rPr>
          <t>Currency type</t>
        </r>
      </text>
    </comment>
    <comment ref="L1" authorId="0" shapeId="0" xr:uid="{00000000-0006-0000-1100-00000C000000}">
      <text>
        <r>
          <rPr>
            <b/>
            <sz val="8"/>
            <color indexed="81"/>
            <rFont val="Tahoma"/>
            <family val="2"/>
          </rPr>
          <t>Currency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dxb4</author>
  </authors>
  <commentList>
    <comment ref="C12" authorId="0" shapeId="0" xr:uid="{00000000-0006-0000-1200-000001000000}">
      <text>
        <r>
          <rPr>
            <b/>
            <sz val="8"/>
            <color indexed="81"/>
            <rFont val="Tahoma"/>
            <family val="2"/>
          </rPr>
          <t>dxb4:</t>
        </r>
        <r>
          <rPr>
            <sz val="8"/>
            <color indexed="81"/>
            <rFont val="Tahoma"/>
            <family val="2"/>
          </rPr>
          <t xml:space="preserve">
Includes DNAP goodwill pre impairment</t>
        </r>
      </text>
    </comment>
    <comment ref="D12" authorId="0" shapeId="0" xr:uid="{00000000-0006-0000-1200-000002000000}">
      <text>
        <r>
          <rPr>
            <b/>
            <sz val="8"/>
            <color indexed="81"/>
            <rFont val="Tahoma"/>
            <family val="2"/>
          </rPr>
          <t>dxb4:</t>
        </r>
        <r>
          <rPr>
            <sz val="8"/>
            <color indexed="81"/>
            <rFont val="Tahoma"/>
            <family val="2"/>
          </rPr>
          <t xml:space="preserve">
Includes DNAP goodwill pre impairment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dxb4</author>
  </authors>
  <commentList>
    <comment ref="C12" authorId="0" shapeId="0" xr:uid="{00000000-0006-0000-1300-000001000000}">
      <text>
        <r>
          <rPr>
            <b/>
            <sz val="8"/>
            <color indexed="81"/>
            <rFont val="Tahoma"/>
            <family val="2"/>
          </rPr>
          <t>dxb4:</t>
        </r>
        <r>
          <rPr>
            <sz val="8"/>
            <color indexed="81"/>
            <rFont val="Tahoma"/>
            <family val="2"/>
          </rPr>
          <t xml:space="preserve">
Includes DNA
 goodwill pre impairment</t>
        </r>
      </text>
    </comment>
    <comment ref="D12" authorId="0" shapeId="0" xr:uid="{00000000-0006-0000-1300-000002000000}">
      <text>
        <r>
          <rPr>
            <b/>
            <sz val="8"/>
            <color indexed="81"/>
            <rFont val="Tahoma"/>
            <family val="2"/>
          </rPr>
          <t>dxb4:</t>
        </r>
        <r>
          <rPr>
            <sz val="8"/>
            <color indexed="81"/>
            <rFont val="Tahoma"/>
            <family val="2"/>
          </rPr>
          <t xml:space="preserve">
Includes DNA
 goodwill pre impairment</t>
        </r>
      </text>
    </comment>
  </commentList>
</comments>
</file>

<file path=xl/sharedStrings.xml><?xml version="1.0" encoding="utf-8"?>
<sst xmlns="http://schemas.openxmlformats.org/spreadsheetml/2006/main" count="9931" uniqueCount="3114">
  <si>
    <t xml:space="preserve">March </t>
  </si>
  <si>
    <t>March</t>
  </si>
  <si>
    <t>$mill</t>
  </si>
  <si>
    <t>September</t>
  </si>
  <si>
    <t>Inflows/</t>
  </si>
  <si>
    <t>(Outflows)</t>
  </si>
  <si>
    <t>Inventories</t>
  </si>
  <si>
    <t xml:space="preserve">September </t>
  </si>
  <si>
    <t>HY</t>
  </si>
  <si>
    <t>FY</t>
  </si>
  <si>
    <t>INCITEC PIVOT LIMITED</t>
  </si>
  <si>
    <t>FINANCIAL PERFORMANCE</t>
  </si>
  <si>
    <t>BUSINESS SEG SALES</t>
  </si>
  <si>
    <t>Fertilisers</t>
  </si>
  <si>
    <t>GEOGRAPHIC SEG SALES</t>
  </si>
  <si>
    <t>EBIT</t>
  </si>
  <si>
    <t>Net Interest</t>
  </si>
  <si>
    <t>Operating Profit Before Tax and Minorities</t>
  </si>
  <si>
    <t>Income Tax Expense</t>
  </si>
  <si>
    <t>Cost of Goods Sold (including freight)</t>
  </si>
  <si>
    <t xml:space="preserve">Gross Margin </t>
  </si>
  <si>
    <t>Gross Margin %</t>
  </si>
  <si>
    <t>Cash Fixed Costs</t>
  </si>
  <si>
    <t>EBITDA</t>
  </si>
  <si>
    <t>EBITDA Margin %</t>
  </si>
  <si>
    <t>Gearing</t>
  </si>
  <si>
    <t>DNAP</t>
  </si>
  <si>
    <t>DNA</t>
  </si>
  <si>
    <t>Corporate</t>
  </si>
  <si>
    <t>Trade Debtors</t>
  </si>
  <si>
    <t>Trade Creditors</t>
  </si>
  <si>
    <t>Trade Working Capital</t>
  </si>
  <si>
    <t>Net Property, Plant &amp; Equipment</t>
  </si>
  <si>
    <t>Intangibles</t>
  </si>
  <si>
    <t>Net Interest Bearing Liabilities</t>
  </si>
  <si>
    <t>Current</t>
  </si>
  <si>
    <t>Non-Current</t>
  </si>
  <si>
    <t>Net Assets</t>
  </si>
  <si>
    <t>Cash</t>
  </si>
  <si>
    <t>Total Capital Expenditure</t>
  </si>
  <si>
    <t>DPS, cents</t>
  </si>
  <si>
    <t>Franking, %</t>
  </si>
  <si>
    <t>Ratios</t>
  </si>
  <si>
    <t>Incitec Pivot Fertilisers</t>
  </si>
  <si>
    <t>Supply Chain &amp; Industrial Trading</t>
  </si>
  <si>
    <t>Fertilisers Elimination</t>
  </si>
  <si>
    <t>Dyno Nobel Americas</t>
  </si>
  <si>
    <t>Dyno Nobel Asia Pacific</t>
  </si>
  <si>
    <t>Explosives Eliminations</t>
  </si>
  <si>
    <t>Explosives</t>
  </si>
  <si>
    <t xml:space="preserve">Total Sales - IPL Group  </t>
  </si>
  <si>
    <t>BUSINESS SEG EBIT</t>
  </si>
  <si>
    <t xml:space="preserve">Total EBIT - IPL Group  </t>
  </si>
  <si>
    <t>Depreciation and amortisation</t>
  </si>
  <si>
    <t>EPS, cents pre individually material items</t>
  </si>
  <si>
    <t>EPS, cents post individually material items</t>
  </si>
  <si>
    <t>Interest Cover (times)</t>
  </si>
  <si>
    <t>BUSINESS SEG EBITDA</t>
  </si>
  <si>
    <t xml:space="preserve">Total EBITDA - IPL Group  </t>
  </si>
  <si>
    <t>BUSINESS SEG Depreciation and Amortisation</t>
  </si>
  <si>
    <t xml:space="preserve">Total Depreciation and Amortisation - IPL Group  </t>
  </si>
  <si>
    <t>NPAT attributable to shareholders of IPL</t>
  </si>
  <si>
    <t>NPAT attributable to minority interest</t>
  </si>
  <si>
    <t>Balance Sheet Summary</t>
  </si>
  <si>
    <t>September 10</t>
  </si>
  <si>
    <t>August 10</t>
  </si>
  <si>
    <t>Sept 09</t>
  </si>
  <si>
    <t>March 09</t>
  </si>
  <si>
    <t>Sept 08</t>
  </si>
  <si>
    <t>$m</t>
  </si>
  <si>
    <t>Fertiliser Business</t>
  </si>
  <si>
    <t>IPL Group</t>
  </si>
  <si>
    <t>Net property plant and equipment</t>
  </si>
  <si>
    <t>Intangible assets (incl software)</t>
  </si>
  <si>
    <t>Environmental &amp; restructuring</t>
  </si>
  <si>
    <t>Tax (liabilities)/assets</t>
  </si>
  <si>
    <t>Tax assets/(liabilities)</t>
  </si>
  <si>
    <t>Net other liabilities</t>
  </si>
  <si>
    <t>Sub Total</t>
  </si>
  <si>
    <t>Explosives Business</t>
  </si>
  <si>
    <t>Net Debt</t>
  </si>
  <si>
    <t>Equity</t>
  </si>
  <si>
    <t>Share capital</t>
  </si>
  <si>
    <t>Accumulated retained earnings</t>
  </si>
  <si>
    <t>Reserves</t>
  </si>
  <si>
    <t>FCTR</t>
  </si>
  <si>
    <t>Minority Interest</t>
  </si>
  <si>
    <t>Total Equity</t>
  </si>
  <si>
    <t>Total Capitalisation</t>
  </si>
  <si>
    <t xml:space="preserve">Net Debt </t>
  </si>
  <si>
    <t>▲</t>
  </si>
  <si>
    <t>▼</t>
  </si>
  <si>
    <t>YTD September 2010</t>
  </si>
  <si>
    <t>Sum of CurrentYear</t>
  </si>
  <si>
    <t>Type</t>
  </si>
  <si>
    <t>Group</t>
  </si>
  <si>
    <t>Asset Ren</t>
  </si>
  <si>
    <t>Ex Leased</t>
  </si>
  <si>
    <t>Growth</t>
  </si>
  <si>
    <t>Shut</t>
  </si>
  <si>
    <t>Software</t>
  </si>
  <si>
    <t>Software / Vel</t>
  </si>
  <si>
    <t>Spec Maint</t>
  </si>
  <si>
    <t>Spec Sust</t>
  </si>
  <si>
    <t>Sust</t>
  </si>
  <si>
    <t>Sust - Extra</t>
  </si>
  <si>
    <t>Velocity</t>
  </si>
  <si>
    <t>Grand Total</t>
  </si>
  <si>
    <t>Big N</t>
  </si>
  <si>
    <t>Brisbane</t>
  </si>
  <si>
    <t>Finance</t>
  </si>
  <si>
    <t>Geelong</t>
  </si>
  <si>
    <t>IT</t>
  </si>
  <si>
    <t>Kooragang</t>
  </si>
  <si>
    <t>Lab</t>
  </si>
  <si>
    <t>Northern</t>
  </si>
  <si>
    <t>Portland</t>
  </si>
  <si>
    <t>Sales &amp; Mark</t>
  </si>
  <si>
    <t>SCO</t>
  </si>
  <si>
    <t>Southern</t>
  </si>
  <si>
    <t>G</t>
  </si>
  <si>
    <t>IPF sustenance</t>
  </si>
  <si>
    <t>IPF Growth</t>
  </si>
  <si>
    <t>SCI sustenance</t>
  </si>
  <si>
    <t>SCI Growth</t>
  </si>
  <si>
    <t>Corp sustenance</t>
  </si>
  <si>
    <t>Corp Growth</t>
  </si>
  <si>
    <t>Compendium</t>
  </si>
  <si>
    <t>Difference</t>
  </si>
  <si>
    <t>Profit report/Financials</t>
  </si>
  <si>
    <t>TWC as % of net revenue</t>
  </si>
  <si>
    <t>Average</t>
  </si>
  <si>
    <t>Total</t>
  </si>
  <si>
    <t>Inventory</t>
  </si>
  <si>
    <t>Trade debtors</t>
  </si>
  <si>
    <t>Trade creditors</t>
  </si>
  <si>
    <t>Total TWC</t>
  </si>
  <si>
    <t>H2 08</t>
  </si>
  <si>
    <t>Average TWC at 30/9/08 ($m)</t>
  </si>
  <si>
    <t>Net revenue for year ended 30/9/08 ($m)</t>
  </si>
  <si>
    <t>Net operating cash flows</t>
  </si>
  <si>
    <t>Net interest paid</t>
  </si>
  <si>
    <t>Operating cash flows</t>
  </si>
  <si>
    <t>Net investing cash flows</t>
  </si>
  <si>
    <t>Growth - Other</t>
  </si>
  <si>
    <t>Investing cash flows</t>
  </si>
  <si>
    <t>Net financing cash flows</t>
  </si>
  <si>
    <t>Financing cash flows</t>
  </si>
  <si>
    <t>FINANCIAL POSITION</t>
  </si>
  <si>
    <t>CASH FLOWS</t>
  </si>
  <si>
    <t>Southern Cross International</t>
  </si>
  <si>
    <t>Intercompany Eliminations</t>
  </si>
  <si>
    <t xml:space="preserve">     Manufactured AP's</t>
  </si>
  <si>
    <t xml:space="preserve">     Traded &amp; Non-AP's</t>
  </si>
  <si>
    <t xml:space="preserve">     Industrial Chemicals</t>
  </si>
  <si>
    <t>VOLUMES ('000's tonnes)</t>
  </si>
  <si>
    <t>YTD Mar11 Spend</t>
  </si>
  <si>
    <t>Software / Velocity</t>
  </si>
  <si>
    <t>IT &amp; Finance</t>
  </si>
  <si>
    <t>Moranbah</t>
  </si>
  <si>
    <t>S</t>
  </si>
  <si>
    <t>Scenario</t>
  </si>
  <si>
    <t>Actual</t>
  </si>
  <si>
    <t>Year</t>
  </si>
  <si>
    <t>AUD</t>
  </si>
  <si>
    <t>Period</t>
  </si>
  <si>
    <t>MAR</t>
  </si>
  <si>
    <t>View</t>
  </si>
  <si>
    <t>YTD</t>
  </si>
  <si>
    <t>Entity</t>
  </si>
  <si>
    <t>DNA.DNA_sub</t>
  </si>
  <si>
    <t>Account</t>
  </si>
  <si>
    <t>Value</t>
  </si>
  <si>
    <t>&lt;Entity Curr Total&gt;</t>
  </si>
  <si>
    <t>ICP</t>
  </si>
  <si>
    <t>[ICP Top]</t>
  </si>
  <si>
    <t>Custom1</t>
  </si>
  <si>
    <t>AllCustom1</t>
  </si>
  <si>
    <t>Custom2</t>
  </si>
  <si>
    <t>AllCustom2</t>
  </si>
  <si>
    <t>Custom3</t>
  </si>
  <si>
    <t>[None]</t>
  </si>
  <si>
    <t>Custom4</t>
  </si>
  <si>
    <t>AllCustom4</t>
  </si>
  <si>
    <t xml:space="preserve">BS_A_13000 </t>
  </si>
  <si>
    <t xml:space="preserve">BS_A_16000 </t>
  </si>
  <si>
    <t xml:space="preserve">BS_CURA </t>
  </si>
  <si>
    <t>BS_A_17500</t>
  </si>
  <si>
    <t>BS_A_18000</t>
  </si>
  <si>
    <t>BS_A_19000</t>
  </si>
  <si>
    <t>Mar</t>
  </si>
  <si>
    <t>[Contribution Total]</t>
  </si>
  <si>
    <t>IPLMGMT.FERT</t>
  </si>
  <si>
    <t xml:space="preserve">BS_A_11110 </t>
  </si>
  <si>
    <t>BS_A_11130</t>
  </si>
  <si>
    <t>BS_L_21200</t>
  </si>
  <si>
    <t>BS_L_21400</t>
  </si>
  <si>
    <t>Statement of Financial Position - Ferts</t>
  </si>
  <si>
    <t xml:space="preserve">As at 31 March 2011 </t>
  </si>
  <si>
    <t>Statement of Financial Position - DNAP</t>
  </si>
  <si>
    <t>EXP.DNAP</t>
  </si>
  <si>
    <t>Statement of Financial Position - DNA</t>
  </si>
  <si>
    <t>Statement of Financial Position - CORP</t>
  </si>
  <si>
    <t>EXP.DNA</t>
  </si>
  <si>
    <t>IPLMGMT.CORP_GRP</t>
  </si>
  <si>
    <t>Statement of Financial Position - Group</t>
  </si>
  <si>
    <t>IPLMGMT</t>
  </si>
  <si>
    <t>Statement of Financial Position - DN Corp</t>
  </si>
  <si>
    <t>EXP.DNCORP</t>
  </si>
  <si>
    <t>BS_L_11150</t>
  </si>
  <si>
    <t>Statement of Financial Position - Check</t>
  </si>
  <si>
    <t>PERFORMANCE SUMMARY OF REPORTING GROUP's</t>
  </si>
  <si>
    <t>LY var</t>
  </si>
  <si>
    <t>Sales</t>
  </si>
  <si>
    <t>Gross Margin</t>
  </si>
  <si>
    <t>GM %</t>
  </si>
  <si>
    <t>FCISM</t>
  </si>
  <si>
    <t>Share of Profit - JV's</t>
  </si>
  <si>
    <t>Other</t>
  </si>
  <si>
    <t>Depreciation &amp; Amortisation</t>
  </si>
  <si>
    <t>Interest</t>
  </si>
  <si>
    <t xml:space="preserve">Tax </t>
  </si>
  <si>
    <t>NPAT (pre IMI)</t>
  </si>
  <si>
    <t>NPAT (post IMI)</t>
  </si>
  <si>
    <t>Interest Cover</t>
  </si>
  <si>
    <t>September 2008 Profit &amp; Loss</t>
  </si>
  <si>
    <t>Average Forex Rate</t>
  </si>
  <si>
    <t>Incitec Pivot</t>
  </si>
  <si>
    <t>Incitec Pivot Limited *</t>
  </si>
  <si>
    <t>Holdings**</t>
  </si>
  <si>
    <t>Elimination</t>
  </si>
  <si>
    <t>Group Total</t>
  </si>
  <si>
    <t>Last Year</t>
  </si>
  <si>
    <t>$000</t>
  </si>
  <si>
    <t xml:space="preserve">Fertiliser Tonnes (t) </t>
  </si>
  <si>
    <t>Explosive units</t>
  </si>
  <si>
    <t>TOTAL SALES</t>
  </si>
  <si>
    <t>20015      TOTAL VARIABLE COSTS</t>
  </si>
  <si>
    <t>Variable Cost</t>
  </si>
  <si>
    <t>Fertiliser GM / Tne</t>
  </si>
  <si>
    <t>Explosive GM / Unit</t>
  </si>
  <si>
    <t>TOTAL CASH FIXED COSTS</t>
  </si>
  <si>
    <t>20025D.10  FIXED COST IN STOCK MOVEMENT</t>
  </si>
  <si>
    <t>Cash Fixed Cost</t>
  </si>
  <si>
    <t>PROFIT/LOSS ON SHARE IN ASSOCIATES</t>
  </si>
  <si>
    <t>TOTAL DEPRECIATION</t>
  </si>
  <si>
    <t>TOTAL OTHER INCOME</t>
  </si>
  <si>
    <t>DIVIDEND INCOME</t>
  </si>
  <si>
    <t>INTEREST INCOME/EXPENSE</t>
  </si>
  <si>
    <t>TOTAL FX GAINS/LOSSES</t>
  </si>
  <si>
    <t>Foreign Exchange Loss ^</t>
  </si>
  <si>
    <t>21100      TAX EXPENSE</t>
  </si>
  <si>
    <t>30050000 INCOME TAX EXPENSE - SIGNIFICANT ITEMS</t>
  </si>
  <si>
    <t>23001      SIGNIFICANT ITEMS GROSS - TAXABLE</t>
  </si>
  <si>
    <t>IMI</t>
  </si>
  <si>
    <t>Tax on IMI</t>
  </si>
  <si>
    <t>Key Ratios</t>
  </si>
  <si>
    <t>Gross Margin / Sales</t>
  </si>
  <si>
    <t>EBIT / Sales</t>
  </si>
  <si>
    <t>Sales Variances</t>
  </si>
  <si>
    <t>Price Cost Variance</t>
  </si>
  <si>
    <t>Volume Mix Variance</t>
  </si>
  <si>
    <t>Gross margin Variances</t>
  </si>
  <si>
    <t>* - Incitec Pivot Limited and its controlled entities, excluding Incitec Pivot Explosives Holdings</t>
  </si>
  <si>
    <t>** - Includes Dyno Nobel. IPF LLC and IPUSH</t>
  </si>
  <si>
    <t>Current Month Stretch PA</t>
  </si>
  <si>
    <t>Current Month Board PA</t>
  </si>
  <si>
    <t>Monthly IPL Budget</t>
  </si>
  <si>
    <t>Current Month Dyno BW</t>
  </si>
  <si>
    <t>Monthly Dyno Budget</t>
  </si>
  <si>
    <t>Used in for automation of commentaries</t>
  </si>
  <si>
    <t>Incitec Pivot Limited</t>
  </si>
  <si>
    <t>Tonnes (Kt)</t>
  </si>
  <si>
    <t>Gross Margin ($K)</t>
  </si>
  <si>
    <t>GM Variance Analysis to Target</t>
  </si>
  <si>
    <t>GM Variance Analysis to LY</t>
  </si>
  <si>
    <t>Target</t>
  </si>
  <si>
    <t>Var to Target</t>
  </si>
  <si>
    <t>Var to LY</t>
  </si>
  <si>
    <t>Last year</t>
  </si>
  <si>
    <t>Price Cost</t>
  </si>
  <si>
    <t>Volume / Mix</t>
  </si>
  <si>
    <t>IPL</t>
  </si>
  <si>
    <t>GRANULAR UREA - MANUFACTURED</t>
  </si>
  <si>
    <t>GRANULAR UREA - IMPORTED</t>
  </si>
  <si>
    <t>BIG N</t>
  </si>
  <si>
    <t>SUPER BLENDS</t>
  </si>
  <si>
    <t>SUPERFECT</t>
  </si>
  <si>
    <t>SSP - CCRK</t>
  </si>
  <si>
    <t>DAP</t>
  </si>
  <si>
    <t>MAP</t>
  </si>
  <si>
    <t>GRANULOCK/TECHNITRACE</t>
  </si>
  <si>
    <t>HIGH ANALYSIS  BLENDS</t>
  </si>
  <si>
    <t>OTHER FERTILISERS</t>
  </si>
  <si>
    <t>INDUSTRIAL PRODUCTS</t>
  </si>
  <si>
    <t>ANALYSIS SYSTEMS</t>
  </si>
  <si>
    <t>OTHER VCV's/ADJUST</t>
  </si>
  <si>
    <t xml:space="preserve"> TOTAL IPL</t>
  </si>
  <si>
    <t>SCI</t>
  </si>
  <si>
    <t/>
  </si>
  <si>
    <t>OTHER</t>
  </si>
  <si>
    <t>TOTAL SCI</t>
  </si>
  <si>
    <t xml:space="preserve">  TOTAL GROUP</t>
  </si>
  <si>
    <t>YTD - SUMMARY PRODUCT ANALYSIS</t>
  </si>
  <si>
    <t xml:space="preserve">    TOTAL GROUP GROSS MARGIN VARIANCE ANALYSIS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</si>
  <si>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</si>
  <si>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</si>
  <si>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</si>
  <si>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</si>
  <si>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</si>
  <si>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</si>
  <si>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</si>
  <si>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</si>
  <si>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</si>
  <si>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</si>
  <si>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</si>
  <si>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H1 11</t>
  </si>
  <si>
    <t>Rolling TWC at 31/3/11 ($m)</t>
  </si>
  <si>
    <t>Net revenue for year ended 31/3/11 ($m)</t>
  </si>
  <si>
    <t>&lt;Scenario view&gt;</t>
  </si>
  <si>
    <t>IPLMGMT.EXP</t>
  </si>
  <si>
    <t>BS_A_13000</t>
  </si>
  <si>
    <t>BS_A_11100</t>
  </si>
  <si>
    <t>BS_L_21100</t>
  </si>
  <si>
    <t>H2 10</t>
  </si>
  <si>
    <t>Rolling TWC at 30/9/10 ($m)</t>
  </si>
  <si>
    <t>Net revenue for year ended 30/9/10 ($m)</t>
  </si>
  <si>
    <t>H1 10</t>
  </si>
  <si>
    <t>Rolling TWC at 31/3/10 ($m)</t>
  </si>
  <si>
    <t>Net revenue for year ended 31/3/10 ($m)</t>
  </si>
  <si>
    <t>FY08</t>
  </si>
  <si>
    <t>HY09</t>
  </si>
  <si>
    <t>FY09</t>
  </si>
  <si>
    <t>HY10</t>
  </si>
  <si>
    <t>FY10</t>
  </si>
  <si>
    <t>HY11</t>
  </si>
  <si>
    <t>GROUP</t>
  </si>
  <si>
    <t>H2 09</t>
  </si>
  <si>
    <t>Average TWC at 30/9/09 ($m)</t>
  </si>
  <si>
    <t>Net revenue for year ended 30/9/09 ($m)</t>
  </si>
  <si>
    <t>H1 09</t>
  </si>
  <si>
    <t>Average TWC at 31/3/09 ($m)</t>
  </si>
  <si>
    <t>Net revenue for year ended 31/3/09 ($m)</t>
  </si>
  <si>
    <t>ET report</t>
  </si>
  <si>
    <t>HFM</t>
  </si>
  <si>
    <t>Turkey</t>
  </si>
  <si>
    <t>Australia</t>
  </si>
  <si>
    <t>GEOGRAPHIC SEG NON-CURRENT ASSETS OTHER THAN FINANCIAL INSTRUMENTS AND DEFERRED TAX ASSETS</t>
  </si>
  <si>
    <t xml:space="preserve">Total - IPL Group  </t>
  </si>
  <si>
    <t>Table</t>
  </si>
  <si>
    <t>YTD 6/2009</t>
  </si>
  <si>
    <t>YTD 9/2008</t>
  </si>
  <si>
    <t>Movement</t>
  </si>
  <si>
    <t>Consolidation Group</t>
  </si>
  <si>
    <t xml:space="preserve">
DNA</t>
  </si>
  <si>
    <t xml:space="preserve">
DNI</t>
  </si>
  <si>
    <t xml:space="preserve">
DNI</t>
  </si>
  <si>
    <t xml:space="preserve">
CMMPM</t>
  </si>
  <si>
    <t xml:space="preserve">
CO597</t>
  </si>
  <si>
    <t xml:space="preserve">
DNC</t>
  </si>
  <si>
    <t>Item</t>
  </si>
  <si>
    <t>DN Americas</t>
  </si>
  <si>
    <t>DNI</t>
  </si>
  <si>
    <t>DNM</t>
  </si>
  <si>
    <t>CO597</t>
  </si>
  <si>
    <t>DNC</t>
  </si>
  <si>
    <t>Overall Result</t>
  </si>
  <si>
    <t>T00000</t>
  </si>
  <si>
    <t>BAL SHEET</t>
  </si>
  <si>
    <t>T10000</t>
  </si>
  <si>
    <t>TOTAL ASSETS</t>
  </si>
  <si>
    <t>T11000</t>
  </si>
  <si>
    <t>Total Current Assets</t>
  </si>
  <si>
    <t>T14000</t>
  </si>
  <si>
    <t>Total Non-Current As</t>
  </si>
  <si>
    <t>T15000</t>
  </si>
  <si>
    <t>Int Dyno Nobel Acc</t>
  </si>
  <si>
    <t>T11700</t>
  </si>
  <si>
    <t>NCA RECEIVABLES</t>
  </si>
  <si>
    <t>T11800</t>
  </si>
  <si>
    <t>NCA INV - EQ METHOD</t>
  </si>
  <si>
    <t>T11600</t>
  </si>
  <si>
    <t>NCA PP&amp;E</t>
  </si>
  <si>
    <t>T12100</t>
  </si>
  <si>
    <t>NCA INTANGIBLE ASSET</t>
  </si>
  <si>
    <t>T12200</t>
  </si>
  <si>
    <t>NCA DEF TAX ASSET</t>
  </si>
  <si>
    <t>T12250</t>
  </si>
  <si>
    <t>OTHER ASSETS</t>
  </si>
  <si>
    <t>T29999</t>
  </si>
  <si>
    <t>TOTAL LIABILITIES</t>
  </si>
  <si>
    <t>T29000</t>
  </si>
  <si>
    <t>TOTAL SHAREHOLDER'S</t>
  </si>
  <si>
    <t>Not Assigned Item (s)</t>
  </si>
  <si>
    <t>YTD 6/2008</t>
  </si>
  <si>
    <t xml:space="preserve">
CO425</t>
  </si>
  <si>
    <t>CO425</t>
  </si>
  <si>
    <t>IPL50000</t>
  </si>
  <si>
    <t>NPAT</t>
  </si>
  <si>
    <t>IPL52000</t>
  </si>
  <si>
    <t>IPL53000</t>
  </si>
  <si>
    <t>IPL53100</t>
  </si>
  <si>
    <t>IPL53200</t>
  </si>
  <si>
    <t>Variable Costs</t>
  </si>
  <si>
    <t>IPL52500</t>
  </si>
  <si>
    <t>JV Equity Inc &amp; Mgt</t>
  </si>
  <si>
    <t>IPL52100</t>
  </si>
  <si>
    <t>IPL52300</t>
  </si>
  <si>
    <t>Dep'n &amp; Amort</t>
  </si>
  <si>
    <t>IPL52400</t>
  </si>
  <si>
    <t>IPL51010</t>
  </si>
  <si>
    <t>Tax</t>
  </si>
  <si>
    <t>IPL51030</t>
  </si>
  <si>
    <t>IPL51020</t>
  </si>
  <si>
    <t>AUD:USD at 31/3/09</t>
  </si>
  <si>
    <t>AUD:USD at 30/9/08</t>
  </si>
  <si>
    <t>Mexico NCA's at 31/3/09 in USD</t>
  </si>
  <si>
    <t>Mexico NCA's at 31/3/09 in AUD</t>
  </si>
  <si>
    <t>Mexico NCA's at 30/9/08 in AUD</t>
  </si>
  <si>
    <t>Mexico NCA's at 30/9/08 in USD</t>
  </si>
  <si>
    <t>Mexico sales for 3 months ended 30/9/08 in USD</t>
  </si>
  <si>
    <t>Mexico sales for 3 months ended 30/9/08 in AUD</t>
  </si>
  <si>
    <t>AUD:USD average for month of September 2008</t>
  </si>
  <si>
    <t>Text for B/S P&amp;L item</t>
  </si>
  <si>
    <t>Abs. difference</t>
  </si>
  <si>
    <t>300000 REVENUE - PRODUCT, DOMESTIC (EXTERNAL)</t>
  </si>
  <si>
    <t>300000</t>
  </si>
  <si>
    <t>300300 REVENUE - OTHER, EXTERNAL</t>
  </si>
  <si>
    <t>300300</t>
  </si>
  <si>
    <t>Gross External Sales Income</t>
  </si>
  <si>
    <t>Total Gross Sales Income</t>
  </si>
  <si>
    <t>300700 CONTRA REV - SALES REBATES - EXTERNAL</t>
  </si>
  <si>
    <t>300700</t>
  </si>
  <si>
    <t>Total Other Revenue</t>
  </si>
  <si>
    <t>Total Gross Revenue</t>
  </si>
  <si>
    <t>DIRECT EXPENSES</t>
  </si>
  <si>
    <t>400000 COGS - PRODUCT, DOMESTIC (EXTERNAL)</t>
  </si>
  <si>
    <t>400000</t>
  </si>
  <si>
    <t>400300 COGS - OTHER, EXTERNAL</t>
  </si>
  <si>
    <t>400300</t>
  </si>
  <si>
    <t>400530 COGS - RAW MATERIALS</t>
  </si>
  <si>
    <t>400530</t>
  </si>
  <si>
    <t>400560 COGS - FINISHED GOODS PURCHASED FOR RESALE</t>
  </si>
  <si>
    <t>400560</t>
  </si>
  <si>
    <t>Cost of Goods Sold</t>
  </si>
  <si>
    <t>Total Cost of Goods Sold</t>
  </si>
  <si>
    <t>500200 DC - RAW MATERIAL CONSUMED</t>
  </si>
  <si>
    <t>500200</t>
  </si>
  <si>
    <t>500724 DC - OUTPUT TO PRODUCTION ORDERS</t>
  </si>
  <si>
    <t>500724</t>
  </si>
  <si>
    <t>Overhead Recovery</t>
  </si>
  <si>
    <t>500215 DC - RAW MATERIAL - OTHER</t>
  </si>
  <si>
    <t>500215</t>
  </si>
  <si>
    <t>500300 DC - VARIANCE - MATERIAL PURCHASE PRICE</t>
  </si>
  <si>
    <t>500300</t>
  </si>
  <si>
    <t>500301 DC - PRODUCTION RUN SETTLEMENT COSTS</t>
  </si>
  <si>
    <t>500301</t>
  </si>
  <si>
    <t>500315 DC - VARIANCE - MATERIAL SCRAP</t>
  </si>
  <si>
    <t>500315</t>
  </si>
  <si>
    <t>500400 DC - FREIGHT IN COMMON CARRIER</t>
  </si>
  <si>
    <t>500400</t>
  </si>
  <si>
    <t>Other Production Costs</t>
  </si>
  <si>
    <t>Direct Material and Energy Costs</t>
  </si>
  <si>
    <t>500000 DC - WAGES</t>
  </si>
  <si>
    <t>500000</t>
  </si>
  <si>
    <t>500020 DC - LABOR - OVERTIME</t>
  </si>
  <si>
    <t>500020</t>
  </si>
  <si>
    <t>500040 DC - LABOR - BENEFITS - PENSION</t>
  </si>
  <si>
    <t>500040</t>
  </si>
  <si>
    <t>Direct Wages</t>
  </si>
  <si>
    <t>TOTAL DIRECT EXPENSES</t>
  </si>
  <si>
    <t>GROSS PROFIT MARGIN</t>
  </si>
  <si>
    <t>INDIRECT COSTS</t>
  </si>
  <si>
    <t>600000 IC - LABOR - OPERATIONS/OVERHEAD</t>
  </si>
  <si>
    <t>600000</t>
  </si>
  <si>
    <t>600012 IC  -  LABOR - BENEFITS - VACATION PAY</t>
  </si>
  <si>
    <t>600012</t>
  </si>
  <si>
    <t>600016 IC - LABOR - BENEFITS - P/R EXPENSE</t>
  </si>
  <si>
    <t>600016</t>
  </si>
  <si>
    <t>600018 IC - LABOR - BENEFITS - RELOCATION</t>
  </si>
  <si>
    <t>600018</t>
  </si>
  <si>
    <t>600020 IC - LABOR - OVERTIME</t>
  </si>
  <si>
    <t>600020</t>
  </si>
  <si>
    <t>600021 IC - LABOR - LONG SERVICE LEAVE</t>
  </si>
  <si>
    <t>600021</t>
  </si>
  <si>
    <t>Indirect Salaries and Social Costs</t>
  </si>
  <si>
    <t>600040 IC - LABOR - BENEFITS - PENSION</t>
  </si>
  <si>
    <t>600040</t>
  </si>
  <si>
    <t>Pension and Other Post Retirement Benefits</t>
  </si>
  <si>
    <t>600110 IC - EMPLOYEE TRAINING EXPENSE</t>
  </si>
  <si>
    <t>600110</t>
  </si>
  <si>
    <t>600125 IC - EMPLOYEE DUE, MEMBERSHIPS &amp; SUBSCRIPTIONS</t>
  </si>
  <si>
    <t>600125</t>
  </si>
  <si>
    <t>600135 IC - EMPLOYEE RECRUITMENT</t>
  </si>
  <si>
    <t>600135</t>
  </si>
  <si>
    <t>600140 IC - EMPLOYEE TRAVEL OVERSEAS</t>
  </si>
  <si>
    <t>600140</t>
  </si>
  <si>
    <t>600150 IC - EMPLOYEE TRAVEL</t>
  </si>
  <si>
    <t>600150</t>
  </si>
  <si>
    <t>600151 IC - EMPLOYEE LODGING</t>
  </si>
  <si>
    <t>600151</t>
  </si>
  <si>
    <t>600153 IC - ENTERTAINMENT GIFTS</t>
  </si>
  <si>
    <t>600153</t>
  </si>
  <si>
    <t>600155 IC - CUSTOMER/BUSINESS ENTERTAINMENT</t>
  </si>
  <si>
    <t>600155</t>
  </si>
  <si>
    <t>600252 IC - LICENSING/FEES - NON-VEHICLE</t>
  </si>
  <si>
    <t>600252</t>
  </si>
  <si>
    <t>600260 IC - TAXES - OTHER</t>
  </si>
  <si>
    <t>600260</t>
  </si>
  <si>
    <t>600270 IC - INSURANCE EXPENSE</t>
  </si>
  <si>
    <t>600270</t>
  </si>
  <si>
    <t>600300 IC - SUPPLIES - GENERAL OFFICE</t>
  </si>
  <si>
    <t>600300</t>
  </si>
  <si>
    <t>600305 IC - SUPPLIES - SAFETY &amp; PROTECTION</t>
  </si>
  <si>
    <t>600305</t>
  </si>
  <si>
    <t>600312 IC - TRANSMISSION LINES (COMPUTER)</t>
  </si>
  <si>
    <t>600312</t>
  </si>
  <si>
    <t>600315 IC - SUPPLIES - COMPUTER</t>
  </si>
  <si>
    <t>600315</t>
  </si>
  <si>
    <t>600400 IC - UTILITIES</t>
  </si>
  <si>
    <t>600400</t>
  </si>
  <si>
    <t>600405 IC - TELECOMMUNICATIONS</t>
  </si>
  <si>
    <t>600405</t>
  </si>
  <si>
    <t>600410 IC - POSTAGE, ETC</t>
  </si>
  <si>
    <t>600410</t>
  </si>
  <si>
    <t>600415 IC - PRINTING &amp; STATIONERY</t>
  </si>
  <si>
    <t>600415</t>
  </si>
  <si>
    <t>600600 IC - MAINT - MATERIAL</t>
  </si>
  <si>
    <t>600600</t>
  </si>
  <si>
    <t>600601 IC - MAINT - MATERIAL FROM STOCK</t>
  </si>
  <si>
    <t>600601</t>
  </si>
  <si>
    <t>600610 IC - MAINT - SERVICES</t>
  </si>
  <si>
    <t>600610</t>
  </si>
  <si>
    <t>600690 IC - VEHICLE EXPENSES</t>
  </si>
  <si>
    <t>600690</t>
  </si>
  <si>
    <t>600715 IC - ENVIRONMENTAL - GENERAL EXPENSE</t>
  </si>
  <si>
    <t>600715</t>
  </si>
  <si>
    <t>600820 IC - ACCOUNTANTS, LAWYERS, CONSULTANTS EXPENSE</t>
  </si>
  <si>
    <t>600820</t>
  </si>
  <si>
    <t>600821 IC - LEGAL FEES</t>
  </si>
  <si>
    <t>600821</t>
  </si>
  <si>
    <t>600822 IC - AUDIT FEES EXTERNAL OVERSEAS</t>
  </si>
  <si>
    <t>600822</t>
  </si>
  <si>
    <t>600825 IC - ADVERTISING &amp; PROMOTION</t>
  </si>
  <si>
    <t>600825</t>
  </si>
  <si>
    <t>600828 IC - SPONSORSHIPS</t>
  </si>
  <si>
    <t>600828</t>
  </si>
  <si>
    <t>600840 IC - CONTRIBUTIONS AND DONATIONS</t>
  </si>
  <si>
    <t>600840</t>
  </si>
  <si>
    <t>600880 IC - MISCELLANEOUS EXPENSE</t>
  </si>
  <si>
    <t>600880</t>
  </si>
  <si>
    <t>600890 IC - OUTSIDE EMPLOYEES</t>
  </si>
  <si>
    <t>600890</t>
  </si>
  <si>
    <t>600900 IC - FA TO CAPITALIZE</t>
  </si>
  <si>
    <t>600900</t>
  </si>
  <si>
    <t>Other Indirect Costs</t>
  </si>
  <si>
    <t>600810 IC - RENT/LEASE VEHICLE</t>
  </si>
  <si>
    <t>600810</t>
  </si>
  <si>
    <t>600812 IC - RENT/LEASE MACHINERY &amp; EQUIPMENT</t>
  </si>
  <si>
    <t>600812</t>
  </si>
  <si>
    <t>600813 IC - RENT/LEASE OFFICE</t>
  </si>
  <si>
    <t>600813</t>
  </si>
  <si>
    <t>Rent/Lease Costs</t>
  </si>
  <si>
    <t>600800 IC - BAD DEBT EXPENSE - CHANGE IN PROVISION</t>
  </si>
  <si>
    <t>600800</t>
  </si>
  <si>
    <t>600802 IC - BAD DEBT EXPENSE - RECOVERY</t>
  </si>
  <si>
    <t>600802</t>
  </si>
  <si>
    <t>Bad Debt Expense</t>
  </si>
  <si>
    <t>600500 IC - DEPRECIATION EXPENSE</t>
  </si>
  <si>
    <t>600500</t>
  </si>
  <si>
    <t>600501 IC - DEPRE-BUDGET PPA / SALE LEASE BACK</t>
  </si>
  <si>
    <t>600501</t>
  </si>
  <si>
    <t>Depreciation and Amortization</t>
  </si>
  <si>
    <t>TOTAL INDIRECT COSTS</t>
  </si>
  <si>
    <t>OPERATING (PROFIT)LOSS</t>
  </si>
  <si>
    <t>ROCE Numerator</t>
  </si>
  <si>
    <t>FINANCIAL (INCOME) EXPENSE</t>
  </si>
  <si>
    <t>Financial Income</t>
  </si>
  <si>
    <t>700400 FI - INTEREST INCOME EXTERNAL</t>
  </si>
  <si>
    <t>700400</t>
  </si>
  <si>
    <t>Interest Inc, External</t>
  </si>
  <si>
    <t>700601 FI - REALIZED GAIN ON FOREIGN EXCHANGE, AR/AP</t>
  </si>
  <si>
    <t>700601</t>
  </si>
  <si>
    <t>700620 FI - UNREALIZED GAINS ON FOR EXCH, C ASSET / LIAB</t>
  </si>
  <si>
    <t>700620</t>
  </si>
  <si>
    <t>700623 FI - UNREALIZED GAINS ON FOR EXCH., AP EXTERNAL</t>
  </si>
  <si>
    <t>700623</t>
  </si>
  <si>
    <t>Realized and Unreal Gain on Foreign Exch</t>
  </si>
  <si>
    <t>Total Financial Income</t>
  </si>
  <si>
    <t>Financial Expense</t>
  </si>
  <si>
    <t>800600 FE - REALIZED LOSSES ON FOREIGN EXCHANGE</t>
  </si>
  <si>
    <t>800600</t>
  </si>
  <si>
    <t>800618 FE - REALIZED LOSS ON FOR EXCH, AP/AR</t>
  </si>
  <si>
    <t>800618</t>
  </si>
  <si>
    <t>800620 FE - UNREALIZED LOSSES ON FOR EXCH, CURR</t>
  </si>
  <si>
    <t>800620</t>
  </si>
  <si>
    <t>800623 FE - UNREALIZED LOSSES ON FOR EXCH, AP EXTERNAL</t>
  </si>
  <si>
    <t>800623</t>
  </si>
  <si>
    <t>800660 FE - UNREALIZED LOSSES ON FOR EXCH, NON-CURRENT</t>
  </si>
  <si>
    <t>800660</t>
  </si>
  <si>
    <t>Realized and Unreal Loss on Foreign Exch</t>
  </si>
  <si>
    <t>800820 FE - BANK COSTS</t>
  </si>
  <si>
    <t>800820</t>
  </si>
  <si>
    <t>Other Financial Expenses</t>
  </si>
  <si>
    <t>Total Financial Expense</t>
  </si>
  <si>
    <t>TOTAL FINANCIAL (INCOME) EXPENSE</t>
  </si>
  <si>
    <t>(Profit)Loss Before Tax</t>
  </si>
  <si>
    <t>Income Taxes</t>
  </si>
  <si>
    <t>900210 TAXES - DEFERRED TAX ON LOSS CARRY FORWARD</t>
  </si>
  <si>
    <t>900210</t>
  </si>
  <si>
    <t>Deferred Taxes</t>
  </si>
  <si>
    <t>Total Income Taxes</t>
  </si>
  <si>
    <t>NET (INCOME) LOSS before Recurring</t>
  </si>
  <si>
    <t>Net (Income)Loss After Non-Recurring</t>
  </si>
  <si>
    <t>100000 CASH - WFB INVESTMENT INTEREST BEARING</t>
  </si>
  <si>
    <t>100000</t>
  </si>
  <si>
    <t>100500 CASH - CITIBANK INDONESIA IDR</t>
  </si>
  <si>
    <t>100500</t>
  </si>
  <si>
    <t>100502 CASH - CITIBANK INDONESIA USD</t>
  </si>
  <si>
    <t>100502</t>
  </si>
  <si>
    <t>100503 CASH - BANK DANAMON IDR</t>
  </si>
  <si>
    <t>100503</t>
  </si>
  <si>
    <t>100504 CASH - BNI BALIKPAPAN IDR</t>
  </si>
  <si>
    <t>100504</t>
  </si>
  <si>
    <t>100899 INTERCO - REC/PAY</t>
  </si>
  <si>
    <t>100899</t>
  </si>
  <si>
    <t>110000 A/R - TRADE (EXTERNAL)</t>
  </si>
  <si>
    <t>110000</t>
  </si>
  <si>
    <t>110003 A/R - OTHER</t>
  </si>
  <si>
    <t>110003</t>
  </si>
  <si>
    <t>110011 AR-TRADE - REBATES</t>
  </si>
  <si>
    <t>110011</t>
  </si>
  <si>
    <t>110150 ST REC - DOWNPAYMENT TO VENDORS</t>
  </si>
  <si>
    <t>110150</t>
  </si>
  <si>
    <t>110200 PREPAID - INSURANCE</t>
  </si>
  <si>
    <t>110200</t>
  </si>
  <si>
    <t>110202 PREPAID - INSURANCE DEPOSITS</t>
  </si>
  <si>
    <t>110202</t>
  </si>
  <si>
    <t>110220 PREPAID - OTHER</t>
  </si>
  <si>
    <t>110220</t>
  </si>
  <si>
    <t>110222 PREPAID - EXIT TAX</t>
  </si>
  <si>
    <t>110222</t>
  </si>
  <si>
    <t>110224 PREPAID - INCOME TAX</t>
  </si>
  <si>
    <t>110224</t>
  </si>
  <si>
    <t>110799 ST REC - INTERNAL</t>
  </si>
  <si>
    <t>110799</t>
  </si>
  <si>
    <t>110880 STREC - EMPLOYEE ADVANCE</t>
  </si>
  <si>
    <t>110880</t>
  </si>
  <si>
    <t>120000 INVT - RAW MATERIAL</t>
  </si>
  <si>
    <t>120000</t>
  </si>
  <si>
    <t>124000 INVT - FINISHED GOODS PRODUCED INTERNALLY</t>
  </si>
  <si>
    <t>124000</t>
  </si>
  <si>
    <t>124800 UNBILLED DELIVERIES OF FINISHED GOODS</t>
  </si>
  <si>
    <t>124800</t>
  </si>
  <si>
    <t>124900 INVT - RESERVE FG</t>
  </si>
  <si>
    <t>124900</t>
  </si>
  <si>
    <t>140100 F/A - MOBILE EQUIPMENT</t>
  </si>
  <si>
    <t>140100</t>
  </si>
  <si>
    <t>140200 F/A - MACHINERY &amp; EQUIPMENT</t>
  </si>
  <si>
    <t>140200</t>
  </si>
  <si>
    <t>140300 F/A - FURNITURE AND FIXTURES</t>
  </si>
  <si>
    <t>140300</t>
  </si>
  <si>
    <t>140900 F/A - CONSTRUCTION IN PROGRESS</t>
  </si>
  <si>
    <t>140900</t>
  </si>
  <si>
    <t>140901 F/A - CONSTRUCTION IN PROGRESS MANUAL</t>
  </si>
  <si>
    <t>140901</t>
  </si>
  <si>
    <t>150100 A/D - MOBILE EQUIPMENT</t>
  </si>
  <si>
    <t>150100</t>
  </si>
  <si>
    <t>150200 A/D - MACHINERY &amp; EQUIPMENT</t>
  </si>
  <si>
    <t>150200</t>
  </si>
  <si>
    <t>150300 A/D - FURNITURE &amp; FIXTURES</t>
  </si>
  <si>
    <t>150300</t>
  </si>
  <si>
    <t>190100 TAXES - LT DEFERRED TAX ASSET, TEMP DIFF.</t>
  </si>
  <si>
    <t>190100</t>
  </si>
  <si>
    <t>190120 TAXES - LT DEFERRED TAX ASSET, VAL ALLOW</t>
  </si>
  <si>
    <t>190120</t>
  </si>
  <si>
    <t>210720 VAT OUTPUT</t>
  </si>
  <si>
    <t>210720</t>
  </si>
  <si>
    <t>210760 VAT INPUT</t>
  </si>
  <si>
    <t>210760</t>
  </si>
  <si>
    <t>210780 VAT PAYABLE</t>
  </si>
  <si>
    <t>210780</t>
  </si>
  <si>
    <t>220000 A/P - TRADE (EXTERNAL)</t>
  </si>
  <si>
    <t>220000</t>
  </si>
  <si>
    <t>220001 A/P - TRADE (EXTERNAL) FOREIGN CURR ADJUSTMENT</t>
  </si>
  <si>
    <t>220001</t>
  </si>
  <si>
    <t>220200 GR/IR - GOODS RECEIVED INVOICES RECEIVED</t>
  </si>
  <si>
    <t>220200</t>
  </si>
  <si>
    <t>220250 GR/IR - FREIGHT CLEARING SHIPPING MODULE</t>
  </si>
  <si>
    <t>220250</t>
  </si>
  <si>
    <t>220300 PAYROLL CLEARING</t>
  </si>
  <si>
    <t>220300</t>
  </si>
  <si>
    <t>220440 A/L - SALARY TAX</t>
  </si>
  <si>
    <t>220440</t>
  </si>
  <si>
    <t>220450 A/L - WITHHOLDING TAX (ART 23/EWT)</t>
  </si>
  <si>
    <t>220450</t>
  </si>
  <si>
    <t>220455 A/L - JAMSOSTEX</t>
  </si>
  <si>
    <t>220455</t>
  </si>
  <si>
    <t>220600 A/L - SHORT TERM INCENTIVE (STI)</t>
  </si>
  <si>
    <t>220600</t>
  </si>
  <si>
    <t>220614 A/L - OTHER</t>
  </si>
  <si>
    <t>220614</t>
  </si>
  <si>
    <t>220699 A/L - SHORT TERM LIABILITIES INTERNAL</t>
  </si>
  <si>
    <t>220699</t>
  </si>
  <si>
    <t>290200 EQUITY - COMMON STOCK</t>
  </si>
  <si>
    <t>290200</t>
  </si>
  <si>
    <t>290400 EQUITY - RETAINED EARNINGS</t>
  </si>
  <si>
    <t>290400</t>
  </si>
  <si>
    <t>500012 DC - LABOR - BENEFITS - VACATION PAY</t>
  </si>
  <si>
    <t>500012</t>
  </si>
  <si>
    <t>500016 DC - LABOR - BENEFITS - PAYROLL TAX EXPENSE</t>
  </si>
  <si>
    <t>500016</t>
  </si>
  <si>
    <t>500021 DC - LABOR - LONG SERVICE LEAVE</t>
  </si>
  <si>
    <t>500021</t>
  </si>
  <si>
    <t>600115 IC - EMPLOYEE ACTIVITIES/NON-TRAVEL MEALS</t>
  </si>
  <si>
    <t>600115</t>
  </si>
  <si>
    <t>600302 IC - SUPPLIES - GENERAL</t>
  </si>
  <si>
    <t>600302</t>
  </si>
  <si>
    <t>600310 IC - SUPPLIES - EXPERIMENTAL</t>
  </si>
  <si>
    <t>600310</t>
  </si>
  <si>
    <t>600420 IC - Gl Courier Charges</t>
  </si>
  <si>
    <t>600420</t>
  </si>
  <si>
    <t>700621 FI - UNREALIZED GAINS ON FOR EXCH, AR EXTERNAL</t>
  </si>
  <si>
    <t>700621</t>
  </si>
  <si>
    <t>800621 FE - UNREALIZED LOSSES ON FOR EXCH, AR EXTERNAL</t>
  </si>
  <si>
    <t>800621</t>
  </si>
  <si>
    <t>900200 TAXES - DEFERRED TAX ON TEMP DIFFERENCES</t>
  </si>
  <si>
    <t>900200</t>
  </si>
  <si>
    <t>900000 TAXES - CURRENT FEDERAL INCOME TAX</t>
  </si>
  <si>
    <t>900000</t>
  </si>
  <si>
    <t>Current Taxes</t>
  </si>
  <si>
    <t>100310 Cash CIT - Deposit Account - AUD</t>
  </si>
  <si>
    <t>100310</t>
  </si>
  <si>
    <t>110009 A/R - TRADE (EXTERNAL) FOREIGN CURRENCY ADJUSTMENT</t>
  </si>
  <si>
    <t>110009</t>
  </si>
  <si>
    <t>120030 INVT - PREPAID RAW MATERIALS SUPPLIERS</t>
  </si>
  <si>
    <t>120030</t>
  </si>
  <si>
    <t>140480 F/A - MAGAZINES</t>
  </si>
  <si>
    <t>140480</t>
  </si>
  <si>
    <t>150480 A/D - MAGAZINES</t>
  </si>
  <si>
    <t>150480</t>
  </si>
  <si>
    <t>190110 TAXES - LT DEFERRED TAX ASSET, TAX LOSS CF</t>
  </si>
  <si>
    <t>190110</t>
  </si>
  <si>
    <t>210020 A/L - FEDERAL INCOME TAX</t>
  </si>
  <si>
    <t>210020</t>
  </si>
  <si>
    <t>210770 GST PAYABLE</t>
  </si>
  <si>
    <t>210770</t>
  </si>
  <si>
    <t>220305 PAYROLL DEDUCTION CLEARING</t>
  </si>
  <si>
    <t>220305</t>
  </si>
  <si>
    <t>220310 PROVISION - ANNUAL LEAVE</t>
  </si>
  <si>
    <t>220310</t>
  </si>
  <si>
    <t>220645 A/L - SUPERANNUATION / RETIREMENT</t>
  </si>
  <si>
    <t>220645</t>
  </si>
  <si>
    <t>270100 LT PROV OTHER</t>
  </si>
  <si>
    <t>270100</t>
  </si>
  <si>
    <t>Indo NCA's at 31/3/09 in USD</t>
  </si>
  <si>
    <t>Indo NCA's at 30/9/08 in USD</t>
  </si>
  <si>
    <t>Indo NCA's at 31/3/09 in AUD</t>
  </si>
  <si>
    <t>Indo NCA's at 30/9/08 in AUD</t>
  </si>
  <si>
    <t>PNG NCA's at 31/3/09 in USD</t>
  </si>
  <si>
    <t>PNG NCA's at 30/9/08 in USD</t>
  </si>
  <si>
    <t>PNG NCA's at 31/3/09 in AUD</t>
  </si>
  <si>
    <t>PNG NCA's at 30/9/08 in AUD</t>
  </si>
  <si>
    <t>Indo sales for 3 months ended 30/9/08 in USD</t>
  </si>
  <si>
    <t>Indo sales for 3 months ended 30/9/08 in AUD</t>
  </si>
  <si>
    <t>PNG sales for 3 months ended 30/9/08 in USD</t>
  </si>
  <si>
    <t>PNG sales for 3 months ended 30/9/08 in AUD</t>
  </si>
  <si>
    <t>Hierarchy Level</t>
  </si>
  <si>
    <t>Financial statement item</t>
  </si>
  <si>
    <t>Company Code</t>
  </si>
  <si>
    <t>Business Area</t>
  </si>
  <si>
    <t>Account number</t>
  </si>
  <si>
    <t>Total of reporting period</t>
  </si>
  <si>
    <t>Total of the comparison period</t>
  </si>
  <si>
    <t>Absolute difference</t>
  </si>
  <si>
    <t>Percentage difference</t>
  </si>
  <si>
    <t>Currency type</t>
  </si>
  <si>
    <t>Currency</t>
  </si>
  <si>
    <t>10</t>
  </si>
  <si>
    <t>IN01</t>
  </si>
  <si>
    <t>****</t>
  </si>
  <si>
    <t>31000000</t>
  </si>
  <si>
    <t>31000000 EXTERNAL SALES</t>
  </si>
  <si>
    <t xml:space="preserve">     69.0</t>
  </si>
  <si>
    <t>FERT</t>
  </si>
  <si>
    <t>31000002</t>
  </si>
  <si>
    <t>31000002 EXTERNAL SALES OVERSEAS</t>
  </si>
  <si>
    <t xml:space="preserve">     75.4</t>
  </si>
  <si>
    <t>31040001</t>
  </si>
  <si>
    <t>31040001 INTERMERGER SALES  OVERSEAS</t>
  </si>
  <si>
    <t xml:space="preserve">    118.5</t>
  </si>
  <si>
    <t>31040500</t>
  </si>
  <si>
    <t>31040500 I/M SALES NH3 SWAPS</t>
  </si>
  <si>
    <t xml:space="preserve">     32.1</t>
  </si>
  <si>
    <t xml:space="preserve"> 9</t>
  </si>
  <si>
    <t>IS_R_30100:  Sales - Trade - External</t>
  </si>
  <si>
    <t xml:space="preserve">     69.3</t>
  </si>
  <si>
    <t>12</t>
  </si>
  <si>
    <t>31040000</t>
  </si>
  <si>
    <t>31040000 INTERMERGER SALES</t>
  </si>
  <si>
    <t xml:space="preserve">    857.8-</t>
  </si>
  <si>
    <t>ELIM</t>
  </si>
  <si>
    <t>31049900</t>
  </si>
  <si>
    <t>31049900 INTERMERGER SALES ELIMINATION</t>
  </si>
  <si>
    <t>31060000</t>
  </si>
  <si>
    <t>31060000 INTERGROUP SALES</t>
  </si>
  <si>
    <t>*555200.0-</t>
  </si>
  <si>
    <t>31069900</t>
  </si>
  <si>
    <t>31069900 INTRAMERGER SALES ELIMINATION</t>
  </si>
  <si>
    <t>IS_R_30200:  Sales - Trade - Intercompany</t>
  </si>
  <si>
    <t xml:space="preserve">    100.0</t>
  </si>
  <si>
    <t>13</t>
  </si>
  <si>
    <t>31000003</t>
  </si>
  <si>
    <t>31000003 ISF FREIGHT RECOV - LOCAL</t>
  </si>
  <si>
    <t xml:space="preserve">     73.6</t>
  </si>
  <si>
    <t>31000004</t>
  </si>
  <si>
    <t>31000004 DFF DELIV CHARGE RECOV - LOCAL</t>
  </si>
  <si>
    <t xml:space="preserve">     84.9</t>
  </si>
  <si>
    <t>31000005</t>
  </si>
  <si>
    <t>31000005 Shed Fees Recovery</t>
  </si>
  <si>
    <t xml:space="preserve">     79.3</t>
  </si>
  <si>
    <t>31000006</t>
  </si>
  <si>
    <t>31000006 HANDLING FEES - LOCAL</t>
  </si>
  <si>
    <t xml:space="preserve">     54.9</t>
  </si>
  <si>
    <t>31000007</t>
  </si>
  <si>
    <t>31000007 Agents Sacrifice</t>
  </si>
  <si>
    <t xml:space="preserve">    100.0-</t>
  </si>
  <si>
    <t>31000008</t>
  </si>
  <si>
    <t>31000008 AGENTS DIFFERENTIAL AMOUNT</t>
  </si>
  <si>
    <t xml:space="preserve">     85.1</t>
  </si>
  <si>
    <t>31200001</t>
  </si>
  <si>
    <t>31200001 Pricing Discounts</t>
  </si>
  <si>
    <t xml:space="preserve">     56.9-</t>
  </si>
  <si>
    <t>31200014</t>
  </si>
  <si>
    <t>31200014 Trade Discount/Wholesale Discount Adjustment 6 mth</t>
  </si>
  <si>
    <t>31200015</t>
  </si>
  <si>
    <t>31200015 Trade Discount/Wholesale Discount Adjustment 12mth</t>
  </si>
  <si>
    <t>31200016</t>
  </si>
  <si>
    <t>31200016 Billing Agency Fees</t>
  </si>
  <si>
    <t xml:space="preserve">     61.7-</t>
  </si>
  <si>
    <t>IS_R_30300:  Sales - Other - External</t>
  </si>
  <si>
    <t xml:space="preserve">     53.5-</t>
  </si>
  <si>
    <t>16</t>
  </si>
  <si>
    <t>TRAD</t>
  </si>
  <si>
    <t>31001000</t>
  </si>
  <si>
    <t>31001000 External Sales - FX Hedge Adjustments</t>
  </si>
  <si>
    <t xml:space="preserve">     82.7-</t>
  </si>
  <si>
    <t>IS_R_30500:  FX Hedge Adjustment</t>
  </si>
  <si>
    <t xml:space="preserve"> 8</t>
  </si>
  <si>
    <t>7</t>
  </si>
  <si>
    <t>IS_R_30000:  Sales</t>
  </si>
  <si>
    <t xml:space="preserve">     70.3</t>
  </si>
  <si>
    <t>18</t>
  </si>
  <si>
    <t>41000002</t>
  </si>
  <si>
    <t>41000002 VAR COST FREIGHT</t>
  </si>
  <si>
    <t xml:space="preserve">     59.6-</t>
  </si>
  <si>
    <t>42200004</t>
  </si>
  <si>
    <t>42200004 CARTAGE OUTWARDS SYSTEM A/C</t>
  </si>
  <si>
    <t xml:space="preserve">      9.7-</t>
  </si>
  <si>
    <t>42200052</t>
  </si>
  <si>
    <t>42200052 LOADING COSTS - SHIPMENTS - COS</t>
  </si>
  <si>
    <t xml:space="preserve">     50.6-</t>
  </si>
  <si>
    <t>42200054</t>
  </si>
  <si>
    <t>42200054 SHIP FREIGHT - COS</t>
  </si>
  <si>
    <t xml:space="preserve">     72.7-</t>
  </si>
  <si>
    <t>42200055</t>
  </si>
  <si>
    <t>42200055 LAND FREIGHT - COS</t>
  </si>
  <si>
    <t xml:space="preserve">     99.7-</t>
  </si>
  <si>
    <t>42200056</t>
  </si>
  <si>
    <t>42200056 DEMURRAGE/DESPATCH</t>
  </si>
  <si>
    <t xml:space="preserve">    489.3-</t>
  </si>
  <si>
    <t>42200061</t>
  </si>
  <si>
    <t>42200061 Exporting Costs - COS</t>
  </si>
  <si>
    <t xml:space="preserve">     34.6-</t>
  </si>
  <si>
    <t>42230000</t>
  </si>
  <si>
    <t>42230000 CARTAGE OUTWARDS EXPORTS</t>
  </si>
  <si>
    <t xml:space="preserve">     79.1-</t>
  </si>
  <si>
    <t>43100011</t>
  </si>
  <si>
    <t>43100011 SHIP - SAMPLING &amp; ANALYSIS</t>
  </si>
  <si>
    <t>43110000</t>
  </si>
  <si>
    <t>43110000 EXTERNAL STORAGE VARIABLE</t>
  </si>
  <si>
    <t xml:space="preserve">     86.6-</t>
  </si>
  <si>
    <t>IS_E_40200:  VC-Freight Out</t>
  </si>
  <si>
    <t xml:space="preserve">     61.6-</t>
  </si>
  <si>
    <t>11</t>
  </si>
  <si>
    <t>25</t>
  </si>
  <si>
    <t>41000000</t>
  </si>
  <si>
    <t>41000000 VAR COGS - PRODUCT</t>
  </si>
  <si>
    <t xml:space="preserve">     23.7-</t>
  </si>
  <si>
    <t>41000003</t>
  </si>
  <si>
    <t>41000003 VAR COST PRODUCT STD</t>
  </si>
  <si>
    <t xml:space="preserve">     17.5-</t>
  </si>
  <si>
    <t>41000500</t>
  </si>
  <si>
    <t>41000500 VAR COS NH3 SWAPS</t>
  </si>
  <si>
    <t xml:space="preserve">     31.0-</t>
  </si>
  <si>
    <t>41000600</t>
  </si>
  <si>
    <t>41000600 BLENDING PAYABLE</t>
  </si>
  <si>
    <t xml:space="preserve">     76.9-</t>
  </si>
  <si>
    <t>41001001</t>
  </si>
  <si>
    <t>41001001 C.O.G.S.  NH3 DISTRIBUTION SUBCONTRACTOR</t>
  </si>
  <si>
    <t xml:space="preserve">     70.2-</t>
  </si>
  <si>
    <t>41001002</t>
  </si>
  <si>
    <t>41001002 C.O.G.S.  NH3 DISTRIBUTION FUEL</t>
  </si>
  <si>
    <t xml:space="preserve">     60.5-</t>
  </si>
  <si>
    <t>41001003</t>
  </si>
  <si>
    <t>41001003 C.O.G.S.  NH3 DISTRIBUTION TYRES</t>
  </si>
  <si>
    <t xml:space="preserve">     64.2-</t>
  </si>
  <si>
    <t>41001004</t>
  </si>
  <si>
    <t>41001004 COGS Big N Depot to Farm Costs</t>
  </si>
  <si>
    <t xml:space="preserve">     92.8-</t>
  </si>
  <si>
    <t>41001005</t>
  </si>
  <si>
    <t>41001005 C.O.G.S.  BIG N EQUIP NON STD</t>
  </si>
  <si>
    <t xml:space="preserve">    171.0</t>
  </si>
  <si>
    <t>41001006</t>
  </si>
  <si>
    <t>41001006 C.O.G.S.  SERVICE</t>
  </si>
  <si>
    <t xml:space="preserve">     52.4-</t>
  </si>
  <si>
    <t>41009900</t>
  </si>
  <si>
    <t>41009900 COST OF GOODS SOLD- INTERGROUP</t>
  </si>
  <si>
    <t xml:space="preserve">    129.1-</t>
  </si>
  <si>
    <t>41009999</t>
  </si>
  <si>
    <t>41009999 C.O.G.S.  CONTRA NH3 DISTRIBUTION</t>
  </si>
  <si>
    <t xml:space="preserve">     67.3</t>
  </si>
  <si>
    <t>IS_E_40300:  VC-COGS</t>
  </si>
  <si>
    <t xml:space="preserve">     59.5-</t>
  </si>
  <si>
    <t>19</t>
  </si>
  <si>
    <t>IS_E_40250:  VC-COGS Net</t>
  </si>
  <si>
    <t>20</t>
  </si>
  <si>
    <t>42010006</t>
  </si>
  <si>
    <t>42010006 BASE BUS REBATE</t>
  </si>
  <si>
    <t xml:space="preserve">     95.7-</t>
  </si>
  <si>
    <t>42010008</t>
  </si>
  <si>
    <t>42010008 EXT COMM&amp; REBATES PD MARKET SUPPORT</t>
  </si>
  <si>
    <t xml:space="preserve">     51.8-</t>
  </si>
  <si>
    <t>42010009</t>
  </si>
  <si>
    <t>42010009 RBTS - BUS FOCUS REBATE</t>
  </si>
  <si>
    <t xml:space="preserve">     99.4-</t>
  </si>
  <si>
    <t>42010011</t>
  </si>
  <si>
    <t>42010011 EXT COMM&amp; REBATES PD SUPP COMMIT REWARD</t>
  </si>
  <si>
    <t>42010012</t>
  </si>
  <si>
    <t>42010012 EXT COMM&amp; REBATES PD PROMOTIONS</t>
  </si>
  <si>
    <t xml:space="preserve">     54.8-</t>
  </si>
  <si>
    <t>42010013</t>
  </si>
  <si>
    <t>42010013 EXT COMM&amp; REBATES PD SERVICE PAYMENTS</t>
  </si>
  <si>
    <t xml:space="preserve">     79.4-</t>
  </si>
  <si>
    <t>42010015</t>
  </si>
  <si>
    <t>42010015 RBTS - CORP JOINT BUS REBATE</t>
  </si>
  <si>
    <t>42010018</t>
  </si>
  <si>
    <t>42010018 REBATES - ANNUAL</t>
  </si>
  <si>
    <t xml:space="preserve">    118.2</t>
  </si>
  <si>
    <t>42010019</t>
  </si>
  <si>
    <t>42010019 Corporate Services fee</t>
  </si>
  <si>
    <t xml:space="preserve">     76.6</t>
  </si>
  <si>
    <t>42010020</t>
  </si>
  <si>
    <t>42010020 DFF DELIVERY</t>
  </si>
  <si>
    <t xml:space="preserve">     83.3-</t>
  </si>
  <si>
    <t>42010021</t>
  </si>
  <si>
    <t>42010021 Shed Fees</t>
  </si>
  <si>
    <t xml:space="preserve">     82.5-</t>
  </si>
  <si>
    <t>42010022</t>
  </si>
  <si>
    <t>42010022 HANDLING FEE</t>
  </si>
  <si>
    <t xml:space="preserve">     54.4-</t>
  </si>
  <si>
    <t>42010023</t>
  </si>
  <si>
    <t>42010023 Rebate Partner Assist</t>
  </si>
  <si>
    <t>42010024</t>
  </si>
  <si>
    <t>42010024 Rebate ELF Wholesale</t>
  </si>
  <si>
    <t>42010025</t>
  </si>
  <si>
    <t>42010025 Rebate ELF Retail</t>
  </si>
  <si>
    <t>42010026</t>
  </si>
  <si>
    <t>42010026 REBATES - SCF</t>
  </si>
  <si>
    <t xml:space="preserve">     96.7-</t>
  </si>
  <si>
    <t>42010028</t>
  </si>
  <si>
    <t>42010028 Primary Business Ptnr: Oct - Sept Reward Year</t>
  </si>
  <si>
    <t xml:space="preserve">    100.2-</t>
  </si>
  <si>
    <t>42010029</t>
  </si>
  <si>
    <t>42010029 Value/Value Plus Bus Ptnr: Mar - Feb Reward Year</t>
  </si>
  <si>
    <t xml:space="preserve">     54.5-</t>
  </si>
  <si>
    <t>42010030</t>
  </si>
  <si>
    <t>42010030 Value/Value Plus Bus Ptnr: Oct - Sept Reward Yer</t>
  </si>
  <si>
    <t xml:space="preserve">     72.2-</t>
  </si>
  <si>
    <t>42010031</t>
  </si>
  <si>
    <t>42010031 AGENT DIFFERENTIAL REFUND</t>
  </si>
  <si>
    <t xml:space="preserve">     85.8-</t>
  </si>
  <si>
    <t>IS_E_40400:  Rebates and Commissions</t>
  </si>
  <si>
    <t xml:space="preserve">     78.1-</t>
  </si>
  <si>
    <t>21</t>
  </si>
  <si>
    <t>43060001</t>
  </si>
  <si>
    <t>43060001 OTHER VAR. COSTS BULK BAG REPAIRS</t>
  </si>
  <si>
    <t>PINK</t>
  </si>
  <si>
    <t>43060006</t>
  </si>
  <si>
    <t>43060006 OTHER VAR. CONTAINER RETURNS CLEANING</t>
  </si>
  <si>
    <t>43060009</t>
  </si>
  <si>
    <t>43060009 UNFAVOURABLE CONTRACTS WRITE BACK</t>
  </si>
  <si>
    <t xml:space="preserve">      6.0-</t>
  </si>
  <si>
    <t>43061000</t>
  </si>
  <si>
    <t>43061000 VAR COST-POINT OF SALE-ZVAR BULK BAG REPAIR</t>
  </si>
  <si>
    <t xml:space="preserve">     66.2-</t>
  </si>
  <si>
    <t>43061001</t>
  </si>
  <si>
    <t>43061001 VAR COST-POINT OF SALE-ZRTB RTB AMORTISATION</t>
  </si>
  <si>
    <t xml:space="preserve">     61.9-</t>
  </si>
  <si>
    <t>43061002</t>
  </si>
  <si>
    <t>43061002 VAR COST-POINT OF SALE-ZPKO Pt KEMBLA OILING</t>
  </si>
  <si>
    <t xml:space="preserve">     84.9-</t>
  </si>
  <si>
    <t>43061003</t>
  </si>
  <si>
    <t>43061003 VAR COST-POINT OF SALE-ZBCC STSL BAG COLLECTION</t>
  </si>
  <si>
    <t>43061012</t>
  </si>
  <si>
    <t>43061012 VAR COST-POINT OF SALE-ZES2 GOULBURN/YASS STOREAGE</t>
  </si>
  <si>
    <t xml:space="preserve">     93.1-</t>
  </si>
  <si>
    <t>43061013</t>
  </si>
  <si>
    <t>43061013 VAR COST-POINT OF SALE-ZES3 FORBES STORAGE</t>
  </si>
  <si>
    <t xml:space="preserve">    717.2</t>
  </si>
  <si>
    <t>43061014</t>
  </si>
  <si>
    <t>43061014 VAR COST-POINT OF SALE-ZES4 TOLL KI FinGOODS STORE</t>
  </si>
  <si>
    <t xml:space="preserve">    100.1-</t>
  </si>
  <si>
    <t>43061016</t>
  </si>
  <si>
    <t>43061016 VAR COST-POINT OF SALE-ZES6 ABB Storage</t>
  </si>
  <si>
    <t xml:space="preserve">  1,078.5</t>
  </si>
  <si>
    <t>43061017</t>
  </si>
  <si>
    <t>43061017 VAR COST-POINT OF SALE-ZES7 EASY N STORAGE</t>
  </si>
  <si>
    <t>IS_E_40500:  Other Selling Costs</t>
  </si>
  <si>
    <t xml:space="preserve">      5.8</t>
  </si>
  <si>
    <t>22</t>
  </si>
  <si>
    <t>PHOS</t>
  </si>
  <si>
    <t>42100000</t>
  </si>
  <si>
    <t>42100000 EXTERNAL ROYALTIES PAID</t>
  </si>
  <si>
    <t xml:space="preserve">     39.7-</t>
  </si>
  <si>
    <t>44000000</t>
  </si>
  <si>
    <t>44000000 RAW MATERIALS USED</t>
  </si>
  <si>
    <t xml:space="preserve">     35.5-</t>
  </si>
  <si>
    <t>GIBS</t>
  </si>
  <si>
    <t>44000009</t>
  </si>
  <si>
    <t>44000009 RAW MATERIALS USED  MEA</t>
  </si>
  <si>
    <t xml:space="preserve">     10.2-</t>
  </si>
  <si>
    <t>44000047</t>
  </si>
  <si>
    <t>44000047 RAW MATERIALS USED  FEL HIRE</t>
  </si>
  <si>
    <t>44000048</t>
  </si>
  <si>
    <t>44000048 RAW MATERIALS USED  DIPA / SULFOLANE</t>
  </si>
  <si>
    <t>44020000</t>
  </si>
  <si>
    <t>44020000 PACKAGING MATERIALS USED</t>
  </si>
  <si>
    <t xml:space="preserve">     92.6-</t>
  </si>
  <si>
    <t>44050000</t>
  </si>
  <si>
    <t>44050000 CONSUMABLE STORES USED IN VARIABLE PROD</t>
  </si>
  <si>
    <t>44050001</t>
  </si>
  <si>
    <t>44050001 CONSUMABLE STORES- VARIABLE DIESEL FUEL USAGE</t>
  </si>
  <si>
    <t>44210000</t>
  </si>
  <si>
    <t>44210000 AIDS TO VARIABLE MANUFACTURE - OTHER</t>
  </si>
  <si>
    <t xml:space="preserve">     71.4-</t>
  </si>
  <si>
    <t>44400000</t>
  </si>
  <si>
    <t>44400000 VARIABLE ELECTRICITY USAGE</t>
  </si>
  <si>
    <t xml:space="preserve">     46.1-</t>
  </si>
  <si>
    <t>44410000</t>
  </si>
  <si>
    <t>44410000 VARIABLE WATER USAGE</t>
  </si>
  <si>
    <t xml:space="preserve">     43.8-</t>
  </si>
  <si>
    <t>44440000</t>
  </si>
  <si>
    <t>44440000 VARIABLE GAS USAGE</t>
  </si>
  <si>
    <t xml:space="preserve">     49.6-</t>
  </si>
  <si>
    <t>44450000</t>
  </si>
  <si>
    <t>44450000 VARIABLE LABOUR USAGE</t>
  </si>
  <si>
    <t>IS_E_40600:  Production Inputs</t>
  </si>
  <si>
    <t xml:space="preserve">     37.0-</t>
  </si>
  <si>
    <t>23</t>
  </si>
  <si>
    <t>41100000</t>
  </si>
  <si>
    <t>41100000 RECOVERY MANUFACTURE COSTS-MAT &amp; LAB</t>
  </si>
  <si>
    <t xml:space="preserve">     38.6</t>
  </si>
  <si>
    <t>41101002</t>
  </si>
  <si>
    <t>41101002 REC MANUF COST-MAT&amp;LAB FIXED COST</t>
  </si>
  <si>
    <t xml:space="preserve">     47.2-</t>
  </si>
  <si>
    <t>IS_E_40700:  Production Outputs</t>
  </si>
  <si>
    <t xml:space="preserve">     37.0</t>
  </si>
  <si>
    <t>24</t>
  </si>
  <si>
    <t>42000000</t>
  </si>
  <si>
    <t>42000000 CUSTOMER EARLY PAYMENT DISCOUNT TAKEN</t>
  </si>
  <si>
    <t xml:space="preserve">    101.1-</t>
  </si>
  <si>
    <t>IS_E_40800:  VC-Discounts</t>
  </si>
  <si>
    <t>8</t>
  </si>
  <si>
    <t>IS_E_40000:  Variable Costs</t>
  </si>
  <si>
    <t xml:space="preserve">     60.9-</t>
  </si>
  <si>
    <t>27</t>
  </si>
  <si>
    <t>41200000</t>
  </si>
  <si>
    <t>41200000 V.E.V.</t>
  </si>
  <si>
    <t xml:space="preserve">     67.0-</t>
  </si>
  <si>
    <t>IS_E_42100:  Variable Efficiency Variance</t>
  </si>
  <si>
    <t>28</t>
  </si>
  <si>
    <t>41210000</t>
  </si>
  <si>
    <t>41210000 V.C.V. - SOURCE MIX</t>
  </si>
  <si>
    <t>41210004</t>
  </si>
  <si>
    <t>41210004 V.C.V. - SM SUSPENSE  BAL S/BE NIL</t>
  </si>
  <si>
    <t xml:space="preserve">     90.5-</t>
  </si>
  <si>
    <t>41211000</t>
  </si>
  <si>
    <t>41211000 V.C.V. - SOURCE MIX  STOCK TRANSFERS</t>
  </si>
  <si>
    <t xml:space="preserve">     76.7-</t>
  </si>
  <si>
    <t>IS_E_42200:  Source Mix Variance</t>
  </si>
  <si>
    <t xml:space="preserve">     77.0-</t>
  </si>
  <si>
    <t>29</t>
  </si>
  <si>
    <t>43000000</t>
  </si>
  <si>
    <t>43000000 STOCK ADJUSTMENTS</t>
  </si>
  <si>
    <t xml:space="preserve">    135.2-</t>
  </si>
  <si>
    <t>43000001</t>
  </si>
  <si>
    <t>43000001 STOCK ADJUSTMENTS  STORES</t>
  </si>
  <si>
    <t xml:space="preserve">  1,440.5-</t>
  </si>
  <si>
    <t>43000004</t>
  </si>
  <si>
    <t>43000004 STOCK ADJUSTMENTS  STOCK CONVERSIONS</t>
  </si>
  <si>
    <t xml:space="preserve">     37.8-</t>
  </si>
  <si>
    <t>43000005</t>
  </si>
  <si>
    <t>43000005 FIBC STOCK ADJUSTMENTS</t>
  </si>
  <si>
    <t xml:space="preserve">     37.5</t>
  </si>
  <si>
    <t>IS_E_42300:  Stock Adjustments</t>
  </si>
  <si>
    <t xml:space="preserve">     67.9-</t>
  </si>
  <si>
    <t>30</t>
  </si>
  <si>
    <t>41220000</t>
  </si>
  <si>
    <t>41220000 MARGIN ON STOCK TRANSFERS</t>
  </si>
  <si>
    <t xml:space="preserve">     93.0-</t>
  </si>
  <si>
    <t>41230000</t>
  </si>
  <si>
    <t>41230000 FREIGHT VARIANCE  ACTUAL</t>
  </si>
  <si>
    <t xml:space="preserve">     59.7-</t>
  </si>
  <si>
    <t>41230001</t>
  </si>
  <si>
    <t>41230001 FREIGHT VARIANCE  STANDARD</t>
  </si>
  <si>
    <t xml:space="preserve">     59.4</t>
  </si>
  <si>
    <t>KOOR</t>
  </si>
  <si>
    <t>41230002</t>
  </si>
  <si>
    <t>41230002 FREIGHT VARIANCE  SWAPOUTS</t>
  </si>
  <si>
    <t>IS_E_42400:  Freight Variance</t>
  </si>
  <si>
    <t xml:space="preserve">     66.5-</t>
  </si>
  <si>
    <t>31</t>
  </si>
  <si>
    <t>41240000</t>
  </si>
  <si>
    <t>41240000 PRICE VARIANCE</t>
  </si>
  <si>
    <t xml:space="preserve">     81.0</t>
  </si>
  <si>
    <t>41240001</t>
  </si>
  <si>
    <t>41240001 PRICE VARIANCE SUBCONTRACT MATERIALS</t>
  </si>
  <si>
    <t>*106357.2-</t>
  </si>
  <si>
    <t>41240002</t>
  </si>
  <si>
    <t>41240002 PRICE VARIANCE-INVOICE VERIFICATION ONLY</t>
  </si>
  <si>
    <t xml:space="preserve">    200.0</t>
  </si>
  <si>
    <t>41241000</t>
  </si>
  <si>
    <t>41241000 GM Related FX Variances</t>
  </si>
  <si>
    <t>41241001</t>
  </si>
  <si>
    <t>41241001 PRICE VARIANCE  GAS</t>
  </si>
  <si>
    <t xml:space="preserve">     64.6</t>
  </si>
  <si>
    <t>41241002</t>
  </si>
  <si>
    <t>41241002 PRICE VARIANCE  WATER</t>
  </si>
  <si>
    <t xml:space="preserve">     18.2</t>
  </si>
  <si>
    <t>41241003</t>
  </si>
  <si>
    <t>41241003 PRICE VARIANCE  ELECTRICITY</t>
  </si>
  <si>
    <t xml:space="preserve">      7.3</t>
  </si>
  <si>
    <t>41242000</t>
  </si>
  <si>
    <t>41242000 PRICE VARIANCE  SHIPPING</t>
  </si>
  <si>
    <t xml:space="preserve">    320.3</t>
  </si>
  <si>
    <t>41242001</t>
  </si>
  <si>
    <t>41242001 PRICE VARIANCE  SWAPOUTS</t>
  </si>
  <si>
    <t xml:space="preserve"> 50,795.2</t>
  </si>
  <si>
    <t>41243000</t>
  </si>
  <si>
    <t>41243000 PRICE VARIANCE  STORES</t>
  </si>
  <si>
    <t xml:space="preserve">    223.7-</t>
  </si>
  <si>
    <t>IS_E_42500:  Price Variance</t>
  </si>
  <si>
    <t xml:space="preserve">     48.1</t>
  </si>
  <si>
    <t>32</t>
  </si>
  <si>
    <t>41310000</t>
  </si>
  <si>
    <t>41310000 REVAL.- FINISHED GOODS TO NEW STDS</t>
  </si>
  <si>
    <t xml:space="preserve">    175.5</t>
  </si>
  <si>
    <t>IS_E_42600:  Stock Revaluation</t>
  </si>
  <si>
    <t>9</t>
  </si>
  <si>
    <t>IS_E_42000:  Variable Cost Variances</t>
  </si>
  <si>
    <t xml:space="preserve">    330.8</t>
  </si>
  <si>
    <t xml:space="preserve"> 7</t>
  </si>
  <si>
    <t>33</t>
  </si>
  <si>
    <t>IS_GM:   GROSS MARGIN</t>
  </si>
  <si>
    <t xml:space="preserve">     79.0</t>
  </si>
  <si>
    <t>41</t>
  </si>
  <si>
    <t>60000000</t>
  </si>
  <si>
    <t>60000000 SALARIES &amp; WAGES  GENERAL</t>
  </si>
  <si>
    <t xml:space="preserve">     66.6-</t>
  </si>
  <si>
    <t>60000001</t>
  </si>
  <si>
    <t>60000001 GRADUATE PROGRAM</t>
  </si>
  <si>
    <t xml:space="preserve">     46.8-</t>
  </si>
  <si>
    <t>60000008</t>
  </si>
  <si>
    <t>60000008 SALARIES &amp; WAGES  RECOVERY</t>
  </si>
  <si>
    <t xml:space="preserve">     81.3</t>
  </si>
  <si>
    <t>60000030</t>
  </si>
  <si>
    <t>60000030 SALARIES &amp; WAGES  GST REIMBURSEMENT</t>
  </si>
  <si>
    <t xml:space="preserve">     77.2-</t>
  </si>
  <si>
    <t>60001000</t>
  </si>
  <si>
    <t>60001000 SALARIES &amp; WAGES  PROCESS</t>
  </si>
  <si>
    <t xml:space="preserve">     46.4-</t>
  </si>
  <si>
    <t>60001002</t>
  </si>
  <si>
    <t>60001002 SALARIES &amp; WAGES - TRAINING</t>
  </si>
  <si>
    <t xml:space="preserve">     98.0-</t>
  </si>
  <si>
    <t>60001005</t>
  </si>
  <si>
    <t>60001005 SALARIES &amp; WAGES  PROCESS - OVERTIME</t>
  </si>
  <si>
    <t xml:space="preserve">  1,643.8</t>
  </si>
  <si>
    <t>60001900</t>
  </si>
  <si>
    <t>60001900 SALARIES &amp; WAGES  PROCESS - RECOVERY</t>
  </si>
  <si>
    <t xml:space="preserve">     66.1</t>
  </si>
  <si>
    <t>60002000</t>
  </si>
  <si>
    <t>60002000 SALARIES &amp; WAGES  MAINTENANCE</t>
  </si>
  <si>
    <t>60002800</t>
  </si>
  <si>
    <t>60002800 SALARIES &amp; WAGES  MAINTENANCE CLEARING</t>
  </si>
  <si>
    <t>60004000</t>
  </si>
  <si>
    <t>60004000 SALARIES &amp; WAGES  SHUTDOWN</t>
  </si>
  <si>
    <t xml:space="preserve">  1,200.3</t>
  </si>
  <si>
    <t>60005000</t>
  </si>
  <si>
    <t>60005000 SALARIES &amp; WAGES  INTERNAL LABOUR</t>
  </si>
  <si>
    <t xml:space="preserve">     47.1-</t>
  </si>
  <si>
    <t>60005001</t>
  </si>
  <si>
    <t>60005001 SALARIES &amp; WAGES  EXTERNAL LABOUR</t>
  </si>
  <si>
    <t>60010001</t>
  </si>
  <si>
    <t>60010001 SALARIES &amp; WAGES DLC PAYROLL TAX</t>
  </si>
  <si>
    <t xml:space="preserve">     44.7-</t>
  </si>
  <si>
    <t>60010002</t>
  </si>
  <si>
    <t>60010002 SALARIES &amp; WAGES DLC WORKERS COMP</t>
  </si>
  <si>
    <t xml:space="preserve">     39.6-</t>
  </si>
  <si>
    <t>60010003</t>
  </si>
  <si>
    <t>60010003 PROVISION FOR LONG SERVICE LEAVE</t>
  </si>
  <si>
    <t xml:space="preserve">     58.8-</t>
  </si>
  <si>
    <t>60010004</t>
  </si>
  <si>
    <t>60010004 PROVISION FOR ANNUAL LEAVE</t>
  </si>
  <si>
    <t xml:space="preserve">    152.8-</t>
  </si>
  <si>
    <t>60080000</t>
  </si>
  <si>
    <t>60080000 COY SUPER CONTRIB.- SALARIED WORKERS</t>
  </si>
  <si>
    <t xml:space="preserve">     41.3-</t>
  </si>
  <si>
    <t>60150000</t>
  </si>
  <si>
    <t>60150000 EMPLOYEE ALLOWANCES AND REIMBURSEMENTS</t>
  </si>
  <si>
    <t>CORP</t>
  </si>
  <si>
    <t>60210000</t>
  </si>
  <si>
    <t>60210000 SHARE BASED PAYMENT EXPENSE - NON TAX DEDUCTIBLE</t>
  </si>
  <si>
    <t xml:space="preserve">     56.7-</t>
  </si>
  <si>
    <t>61060000</t>
  </si>
  <si>
    <t>61060000 REMOTE AREA ACCOMMODATION - 50%  FBT</t>
  </si>
  <si>
    <t>61080000</t>
  </si>
  <si>
    <t>61080000 EMPLOYEES RELOCATION COSTS- FBT EXEMPT</t>
  </si>
  <si>
    <t xml:space="preserve">      5.7-</t>
  </si>
  <si>
    <t>61100000</t>
  </si>
  <si>
    <t>61100000 EMPLOYEE RELOCATION COSTS- FBT</t>
  </si>
  <si>
    <t xml:space="preserve">     96.3-</t>
  </si>
  <si>
    <t>61910000</t>
  </si>
  <si>
    <t>61910000 REDUNDANCIES/ SEVERANCE PAYMENTS</t>
  </si>
  <si>
    <t>74170000</t>
  </si>
  <si>
    <t>74170000 FBT PAID - 1994/95 FBT YEAR ONWARDS</t>
  </si>
  <si>
    <t xml:space="preserve">     68.2-</t>
  </si>
  <si>
    <t>IS_E_61100:  CFC - Labour</t>
  </si>
  <si>
    <t>331</t>
  </si>
  <si>
    <t>60100000</t>
  </si>
  <si>
    <t>60100000 CAR EXPENSES REIMBURSED - CAR ALLOWANCES</t>
  </si>
  <si>
    <t>60110000</t>
  </si>
  <si>
    <t>60110000 CAR RUNNING EXPENSES</t>
  </si>
  <si>
    <t xml:space="preserve">     58.9-</t>
  </si>
  <si>
    <t>60130000</t>
  </si>
  <si>
    <t>60130000 CAR LEASE PAYMENTS</t>
  </si>
  <si>
    <t xml:space="preserve">     50.8-</t>
  </si>
  <si>
    <t>60180000</t>
  </si>
  <si>
    <t>60180000 EMPLOYEE MOTOR VEHICLE CONTRIBUTIONS</t>
  </si>
  <si>
    <t xml:space="preserve">     53.9-</t>
  </si>
  <si>
    <t>42</t>
  </si>
  <si>
    <t>61000000</t>
  </si>
  <si>
    <t>61000000 RENTAL/HOME LOAN INT SUBS- FBT</t>
  </si>
  <si>
    <t>61120000</t>
  </si>
  <si>
    <t>61120000 EMPLOYEE &amp; AMENITY COSTS - FBT EXEMPT</t>
  </si>
  <si>
    <t xml:space="preserve">     52.6-</t>
  </si>
  <si>
    <t>61120001</t>
  </si>
  <si>
    <t>61120001 EMPLOYEE AMEN FBT EXEMPT CANTEEN SUB</t>
  </si>
  <si>
    <t xml:space="preserve">     51.2-</t>
  </si>
  <si>
    <t>61120002</t>
  </si>
  <si>
    <t>61120002 EMPLOYEE AMEN FBT EXEMPT IN-HOUSE MEALS</t>
  </si>
  <si>
    <t xml:space="preserve">     21.7-</t>
  </si>
  <si>
    <t>61120003</t>
  </si>
  <si>
    <t>61120003 EMPLOYEE AMEN FBT EXEMPT PHONE SUB</t>
  </si>
  <si>
    <t xml:space="preserve">     72.0-</t>
  </si>
  <si>
    <t>61120006</t>
  </si>
  <si>
    <t>61120006 MEDICAL EXAMINATIONS &amp; SUPPLIES</t>
  </si>
  <si>
    <t xml:space="preserve">     33.9-</t>
  </si>
  <si>
    <t>61120007</t>
  </si>
  <si>
    <t>61120007 DOMESTIC PAY TELEVISION - EMPLOYEES</t>
  </si>
  <si>
    <t xml:space="preserve">     48.9-</t>
  </si>
  <si>
    <t>61200000</t>
  </si>
  <si>
    <t>61200000 EMPLOYEE REWARDS IN KIND FBT</t>
  </si>
  <si>
    <t xml:space="preserve">     98.9-</t>
  </si>
  <si>
    <t>61210000</t>
  </si>
  <si>
    <t>61210000 EMPLOYEE WELFARE FBT</t>
  </si>
  <si>
    <t xml:space="preserve">     68.0-</t>
  </si>
  <si>
    <t>61220000</t>
  </si>
  <si>
    <t>61220000 SOCIAL CLUB SUBSIDIES - FBT</t>
  </si>
  <si>
    <t xml:space="preserve">      9.5</t>
  </si>
  <si>
    <t>61250000</t>
  </si>
  <si>
    <t>61250000 REIMB. PHONE RENTAL SECURITY COSTS  FBT</t>
  </si>
  <si>
    <t xml:space="preserve">     10.1</t>
  </si>
  <si>
    <t>61320000</t>
  </si>
  <si>
    <t>61320000 RECRUITMENT EXPENSES</t>
  </si>
  <si>
    <t xml:space="preserve">     68.8-</t>
  </si>
  <si>
    <t>IS_E_61200:  CFC - Personnel Costs</t>
  </si>
  <si>
    <t xml:space="preserve">     82.1-</t>
  </si>
  <si>
    <t>332</t>
  </si>
  <si>
    <t>61150000</t>
  </si>
  <si>
    <t>61150000 EDUCATION-FBT EXEMPT</t>
  </si>
  <si>
    <t xml:space="preserve">     38.2-</t>
  </si>
  <si>
    <t>61150001</t>
  </si>
  <si>
    <t>61150001 EDUCATION-FBT EXEMPT CONFERENCE EXP</t>
  </si>
  <si>
    <t xml:space="preserve">     69.4-</t>
  </si>
  <si>
    <t>61150002</t>
  </si>
  <si>
    <t>61150002 EDUCATION-FBT EXEMPT INCITEC SCHOLARSHIP</t>
  </si>
  <si>
    <t xml:space="preserve">     48.6-</t>
  </si>
  <si>
    <t>43</t>
  </si>
  <si>
    <t>71560000</t>
  </si>
  <si>
    <t>71560000 TRAVEL &amp; ACCOMODATION</t>
  </si>
  <si>
    <t>71560001</t>
  </si>
  <si>
    <t>71560001 TRAVEL  OVERSEAS</t>
  </si>
  <si>
    <t xml:space="preserve">     49.1-</t>
  </si>
  <si>
    <t>IS_E_61300:  CFC - Travel &amp; Accommodation</t>
  </si>
  <si>
    <t>45</t>
  </si>
  <si>
    <t>60800000</t>
  </si>
  <si>
    <t>60800000 WAGES - CASUAL WORKERS</t>
  </si>
  <si>
    <t xml:space="preserve">     50.4-</t>
  </si>
  <si>
    <t>IS_E_61400:  CFC - Contractors</t>
  </si>
  <si>
    <t>334</t>
  </si>
  <si>
    <t>IS_E_61IND:  CFC - Indirect Employee Costs</t>
  </si>
  <si>
    <t>35</t>
  </si>
  <si>
    <t>IS_E_61000:  Employee Costs</t>
  </si>
  <si>
    <t xml:space="preserve">     57.3-</t>
  </si>
  <si>
    <t>46</t>
  </si>
  <si>
    <t>64100000</t>
  </si>
  <si>
    <t>64100000 MTCE MAT EXPENSED BOOK/TAX</t>
  </si>
  <si>
    <t xml:space="preserve">     59.1-</t>
  </si>
  <si>
    <t>64100001</t>
  </si>
  <si>
    <t>64100001 MAINT MAT. USED COMPRESSORS</t>
  </si>
  <si>
    <t>64100004</t>
  </si>
  <si>
    <t>64100004 MAINT MAT. USED ELECTRICAL</t>
  </si>
  <si>
    <t xml:space="preserve">     24.2-</t>
  </si>
  <si>
    <t>64100033</t>
  </si>
  <si>
    <t>64100033 MAINT MAT. USED APPLICATORS</t>
  </si>
  <si>
    <t xml:space="preserve">     35.7-</t>
  </si>
  <si>
    <t>64100034</t>
  </si>
  <si>
    <t>64100034 MAINT MAT. USED NURSE TANKS</t>
  </si>
  <si>
    <t xml:space="preserve">     62.5-</t>
  </si>
  <si>
    <t>64100035</t>
  </si>
  <si>
    <t>64100035 MAINT MAT. USED TRUCK TANKS</t>
  </si>
  <si>
    <t xml:space="preserve">     20.8-</t>
  </si>
  <si>
    <t>64100040</t>
  </si>
  <si>
    <t>64100040 MAINT MAT. USED WORKSHOP EQUIPMENT</t>
  </si>
  <si>
    <t xml:space="preserve">     67.4-</t>
  </si>
  <si>
    <t>64100053</t>
  </si>
  <si>
    <t>64100053 MAINT MAT. USED DEPOT EQUIPMENT</t>
  </si>
  <si>
    <t xml:space="preserve">     41.1-</t>
  </si>
  <si>
    <t>64100100</t>
  </si>
  <si>
    <t>64100100 MAINT MAT. USED SPECIAL MAINTENANCE</t>
  </si>
  <si>
    <t xml:space="preserve">     49.0-</t>
  </si>
  <si>
    <t>64101001</t>
  </si>
  <si>
    <t>64101001 MAINT MAT. USED ORDINARY PLANT MTCE</t>
  </si>
  <si>
    <t xml:space="preserve">     23.0-</t>
  </si>
  <si>
    <t>64101002</t>
  </si>
  <si>
    <t>64101002 MAINT MAT. USED SPECIAL PLANT MTCE</t>
  </si>
  <si>
    <t xml:space="preserve">    851.4</t>
  </si>
  <si>
    <t>64101003</t>
  </si>
  <si>
    <t>64101003 MAINT MAT. USED SHUTDOWN PLANT MTCE</t>
  </si>
  <si>
    <t xml:space="preserve">    163.2</t>
  </si>
  <si>
    <t>64105000</t>
  </si>
  <si>
    <t>64105000 MAINT MAT. USED INTERNAL MATERIALS</t>
  </si>
  <si>
    <t xml:space="preserve">     51.5-</t>
  </si>
  <si>
    <t>64105001</t>
  </si>
  <si>
    <t>64105001 MAINT MAT. USED EXTERNAL MATERIALS</t>
  </si>
  <si>
    <t xml:space="preserve">     66.8-</t>
  </si>
  <si>
    <t>64109999</t>
  </si>
  <si>
    <t>64109999 SPECIAL MAINTENANCE TIMING</t>
  </si>
  <si>
    <t>64120000</t>
  </si>
  <si>
    <t>64120000 MTCE COSTS CONTRACTED OUT</t>
  </si>
  <si>
    <t xml:space="preserve">      7.7-</t>
  </si>
  <si>
    <t>64120001</t>
  </si>
  <si>
    <t>64120001 MTCE COSTS CONTRACT OUT-FIX PRICE MIP</t>
  </si>
  <si>
    <t xml:space="preserve">     61.3-</t>
  </si>
  <si>
    <t>64120004</t>
  </si>
  <si>
    <t>64120004 MTCE COSTS CONTRACTED OUT-ELECTRICAL</t>
  </si>
  <si>
    <t xml:space="preserve">    227.7</t>
  </si>
  <si>
    <t>64120050</t>
  </si>
  <si>
    <t>64120050 MTCE COSTS CNTRCT OUT  BUILDINGS CIVIL</t>
  </si>
  <si>
    <t xml:space="preserve">     47.0-</t>
  </si>
  <si>
    <t>64120100</t>
  </si>
  <si>
    <t>64120100 MTCE COSTS CONTRACTED OUT  SPECIAL</t>
  </si>
  <si>
    <t>64121000</t>
  </si>
  <si>
    <t>64121000 MTCE COSTS CONTRACTED  SYS GEN</t>
  </si>
  <si>
    <t xml:space="preserve">     64.3-</t>
  </si>
  <si>
    <t>64129020</t>
  </si>
  <si>
    <t>64129020 Allocated Reg Maintenance - SCF Conversion</t>
  </si>
  <si>
    <t>64129022</t>
  </si>
  <si>
    <t>64129022 Allocated SCO Engineering - SCF Conversion</t>
  </si>
  <si>
    <t>64140000</t>
  </si>
  <si>
    <t>64140000 MAINT COSTS CONTRACT OUT- EXP BK CAP TAX</t>
  </si>
  <si>
    <t>74000001</t>
  </si>
  <si>
    <t>74000001 PLANT &amp; EQUIIPMENT HIRE - SYSTEM A/C</t>
  </si>
  <si>
    <t xml:space="preserve">     38.7-</t>
  </si>
  <si>
    <t>85801290</t>
  </si>
  <si>
    <t>85801290 ENGINEERING CONSULT'S &amp; CONTR'S - ELECT</t>
  </si>
  <si>
    <t>87020001</t>
  </si>
  <si>
    <t>87020001 ORDINARY MAINTENANCE ADJUSTMENT</t>
  </si>
  <si>
    <t xml:space="preserve">     87.5</t>
  </si>
  <si>
    <t>87020002</t>
  </si>
  <si>
    <t>87020002 SPECIAL MAINTENANCE ADJUSTMENT</t>
  </si>
  <si>
    <t xml:space="preserve">     57.4</t>
  </si>
  <si>
    <t>87020004</t>
  </si>
  <si>
    <t>87020004 OTHER MAINTENANCE ADJUSTMENT</t>
  </si>
  <si>
    <t xml:space="preserve">     50.4</t>
  </si>
  <si>
    <t>IS_E_62100:  CFC - Maintenance</t>
  </si>
  <si>
    <t xml:space="preserve">     56.6-</t>
  </si>
  <si>
    <t>36</t>
  </si>
  <si>
    <t>IS_E_62000:  Repairs &amp; Maintenance</t>
  </si>
  <si>
    <t>47</t>
  </si>
  <si>
    <t>64200000</t>
  </si>
  <si>
    <t>64200000 ELECTRICITY USAGE - FIXED MANUFACTURE</t>
  </si>
  <si>
    <t xml:space="preserve">     52.9-</t>
  </si>
  <si>
    <t>64210000</t>
  </si>
  <si>
    <t>64210000 WATER USAGE - FIXED MANUFACTURE</t>
  </si>
  <si>
    <t xml:space="preserve">     95.6-</t>
  </si>
  <si>
    <t>64220000</t>
  </si>
  <si>
    <t>64220000 FUELS USAGE - FIXED MANUFACTURE</t>
  </si>
  <si>
    <t>64250000</t>
  </si>
  <si>
    <t>64250000 GAS USAGE - PURCHASED</t>
  </si>
  <si>
    <t xml:space="preserve">     37.1</t>
  </si>
  <si>
    <t>74100000</t>
  </si>
  <si>
    <t>74100000 RATES - COUNCIL</t>
  </si>
  <si>
    <t xml:space="preserve">     50.7-</t>
  </si>
  <si>
    <t>74110000</t>
  </si>
  <si>
    <t>74110000 RATES - WATER</t>
  </si>
  <si>
    <t>IS_E_63100:  CFC - Utilities</t>
  </si>
  <si>
    <t xml:space="preserve">     51.9-</t>
  </si>
  <si>
    <t>69</t>
  </si>
  <si>
    <t>71250000</t>
  </si>
  <si>
    <t>71250000 EXTERNAL AUDIT FEES - GRP AUDIT KPMG AUSTRALIA</t>
  </si>
  <si>
    <t xml:space="preserve">     36.7-</t>
  </si>
  <si>
    <t>IS_E_63210:  External Audit Group - Group Aud</t>
  </si>
  <si>
    <t>74</t>
  </si>
  <si>
    <t>71130005</t>
  </si>
  <si>
    <t>71130005 LEGAL&amp;CONSULT-TAX DED INTERNAL AUDIT FEE</t>
  </si>
  <si>
    <t xml:space="preserve">      4.7</t>
  </si>
  <si>
    <t>IS_E_63235:  Internal Audit Fees</t>
  </si>
  <si>
    <t>75</t>
  </si>
  <si>
    <t>71130008</t>
  </si>
  <si>
    <t>71130008 LEGAL&amp;CONSULT FEES TAX DED TAX SERVICES</t>
  </si>
  <si>
    <t xml:space="preserve">     30.8</t>
  </si>
  <si>
    <t>IS_E_63240:  Tax Services - Non-Group Auditor</t>
  </si>
  <si>
    <t>78</t>
  </si>
  <si>
    <t>71260000</t>
  </si>
  <si>
    <t>71260000 ACCOUNTING FIRMS- NON AUDIT FEES KPMG</t>
  </si>
  <si>
    <t xml:space="preserve">     20.0-</t>
  </si>
  <si>
    <t>IS_E_63255:  Group Auditor - Non-Audit Relate</t>
  </si>
  <si>
    <t>79</t>
  </si>
  <si>
    <t>71130000</t>
  </si>
  <si>
    <t>71130000 LEGAL&amp;CONSULT FEES TAX DEDUCTIBLE</t>
  </si>
  <si>
    <t xml:space="preserve">     58.4-</t>
  </si>
  <si>
    <t>71130001</t>
  </si>
  <si>
    <t>71130001 LEGAL&amp;CONSULT FEES TAX DED KNOW HOW FEES</t>
  </si>
  <si>
    <t>71130002</t>
  </si>
  <si>
    <t>71130002 LEGAL&amp;CONSULT-TAX DED SHARE REGIS. FEES</t>
  </si>
  <si>
    <t xml:space="preserve">     63.3</t>
  </si>
  <si>
    <t>71130006</t>
  </si>
  <si>
    <t>71130006 LEGAL&amp;CONSULT FEES TAX DEDUCT LEGAL FEES</t>
  </si>
  <si>
    <t xml:space="preserve">     62.0-</t>
  </si>
  <si>
    <t>71130007</t>
  </si>
  <si>
    <t>71130007 LEGAL&amp;CONSULT FEES TAX DED STOCK EXCHAN.</t>
  </si>
  <si>
    <t>IS_E_63260:  Legal Fees</t>
  </si>
  <si>
    <t xml:space="preserve">     55.0-</t>
  </si>
  <si>
    <t>80</t>
  </si>
  <si>
    <t>64749020</t>
  </si>
  <si>
    <t>64749020 PURCH SERV ENGINEERING-SCF Conversion</t>
  </si>
  <si>
    <t xml:space="preserve">     53.7-</t>
  </si>
  <si>
    <t>64749021</t>
  </si>
  <si>
    <t>64749021 PURCH SERV DRAUGHTSPERSON-SCF Conversion</t>
  </si>
  <si>
    <t xml:space="preserve">     42.4-</t>
  </si>
  <si>
    <t>64749022</t>
  </si>
  <si>
    <t>64749022 PURCH SERV ADMIN SERVICES-SCF Conversion</t>
  </si>
  <si>
    <t>64749023</t>
  </si>
  <si>
    <t>64749023 PURCH SERV PROJECT MANAGER-SCF Conversion</t>
  </si>
  <si>
    <t>71130009</t>
  </si>
  <si>
    <t>71130009 LEGAL&amp;CONSULT FEES INVESTOR RELATIONS</t>
  </si>
  <si>
    <t xml:space="preserve">     60.7-</t>
  </si>
  <si>
    <t>71130011</t>
  </si>
  <si>
    <t>71130011 LEGAL&amp;CONSULT - ANNUAL REPORT COSTS</t>
  </si>
  <si>
    <t xml:space="preserve">  1,235.9</t>
  </si>
  <si>
    <t>IS_E_63265:  Other Consulting Fees</t>
  </si>
  <si>
    <t>81</t>
  </si>
  <si>
    <t>71210000</t>
  </si>
  <si>
    <t>71210000 NON EXECUTIVE DIRECTORS FEES</t>
  </si>
  <si>
    <t xml:space="preserve">     45.4-</t>
  </si>
  <si>
    <t>IS_E_63270:  Directors Fees</t>
  </si>
  <si>
    <t>48</t>
  </si>
  <si>
    <t>IS_E_63200:  CFC - Consultant Fees</t>
  </si>
  <si>
    <t xml:space="preserve">     49.7-</t>
  </si>
  <si>
    <t>49</t>
  </si>
  <si>
    <t>62000000</t>
  </si>
  <si>
    <t>62000000 ADVERTISING</t>
  </si>
  <si>
    <t xml:space="preserve">      0.0</t>
  </si>
  <si>
    <t>62030000</t>
  </si>
  <si>
    <t>62030000 ADVERTISING - MEDIA PRODUCTION</t>
  </si>
  <si>
    <t xml:space="preserve">     46.6-</t>
  </si>
  <si>
    <t>62050000</t>
  </si>
  <si>
    <t>62050000 ADVERTISING PROMOTION CO-OPERATIVE</t>
  </si>
  <si>
    <t xml:space="preserve">     75.0-</t>
  </si>
  <si>
    <t>62210000</t>
  </si>
  <si>
    <t>62210000 SALES PROMO - PUBLICATIONS</t>
  </si>
  <si>
    <t xml:space="preserve">     84.6-</t>
  </si>
  <si>
    <t>62210001</t>
  </si>
  <si>
    <t>62210001 SALES PROMO - PUBLICATIONS SPONSORSHIPS</t>
  </si>
  <si>
    <t>62211000</t>
  </si>
  <si>
    <t>62211000 Promotions Expenses - Paid Through Rebates System</t>
  </si>
  <si>
    <t xml:space="preserve">     88.4-</t>
  </si>
  <si>
    <t>62400000</t>
  </si>
  <si>
    <t>62400000 MARKETING EXPENSES</t>
  </si>
  <si>
    <t xml:space="preserve">     19.2-</t>
  </si>
  <si>
    <t>IS_E_63300:  CFC - Advertising</t>
  </si>
  <si>
    <t xml:space="preserve">     27.4-</t>
  </si>
  <si>
    <t>50</t>
  </si>
  <si>
    <t>62810000</t>
  </si>
  <si>
    <t>62810000 WAREHOUSING COSTS</t>
  </si>
  <si>
    <t>64740000</t>
  </si>
  <si>
    <t>64740000 PURCH SERV GEN MANUF SITES</t>
  </si>
  <si>
    <t xml:space="preserve">    104.3-</t>
  </si>
  <si>
    <t>64740001</t>
  </si>
  <si>
    <t>64740001 PURCH SERV GEN MANUF SITES CONTRACTORS</t>
  </si>
  <si>
    <t>64740002</t>
  </si>
  <si>
    <t>64740002 PURCH SERV GEN MANUF SITES YARD UPKEEP</t>
  </si>
  <si>
    <t xml:space="preserve">     54.0-</t>
  </si>
  <si>
    <t>64740003</t>
  </si>
  <si>
    <t>64740003 PURCH SERV GEN MANUF SITES CLEANING</t>
  </si>
  <si>
    <t>64740004</t>
  </si>
  <si>
    <t>64740004 PURCH SERV GEN MANUF SITES OCC. HYGIENE</t>
  </si>
  <si>
    <t xml:space="preserve">     47.4-</t>
  </si>
  <si>
    <t>64740005</t>
  </si>
  <si>
    <t>64740005 PURCH SERV GEN MANUF SITES SECURITY</t>
  </si>
  <si>
    <t xml:space="preserve">     35.4-</t>
  </si>
  <si>
    <t>64740008</t>
  </si>
  <si>
    <t>64740008 PURCHASED SERVICES AIRCRAFT CONTRACTORS</t>
  </si>
  <si>
    <t xml:space="preserve">     50.0-</t>
  </si>
  <si>
    <t>64740009</t>
  </si>
  <si>
    <t>64740009 PURCHASED SERVICES CATERING CONTRACTORS</t>
  </si>
  <si>
    <t xml:space="preserve">     49.5-</t>
  </si>
  <si>
    <t>64740010</t>
  </si>
  <si>
    <t>64740010 PURCHASED SERVICES ASSAYS</t>
  </si>
  <si>
    <t xml:space="preserve">     99.0-</t>
  </si>
  <si>
    <t>64740011</t>
  </si>
  <si>
    <t>64740011 PURCHASED SERVICES MINING CONTRACTORS</t>
  </si>
  <si>
    <t>64740012</t>
  </si>
  <si>
    <t>64740012 PURCHASED SERVICES SURFACE DRILLING</t>
  </si>
  <si>
    <t xml:space="preserve">     99.5-</t>
  </si>
  <si>
    <t>64740013</t>
  </si>
  <si>
    <t>64740013 PURCHASED SERVICES OTHER SERVICES</t>
  </si>
  <si>
    <t xml:space="preserve">     89.4-</t>
  </si>
  <si>
    <t>64740014</t>
  </si>
  <si>
    <t>64740014 PURCH SERV GEN MANUF SITES FIXED CLEANING COSTS</t>
  </si>
  <si>
    <t>71561000</t>
  </si>
  <si>
    <t>71561000 Employee Reimbursement input tax payable</t>
  </si>
  <si>
    <t>71569020</t>
  </si>
  <si>
    <t>71569020 TRAVEL - SCO Townsite</t>
  </si>
  <si>
    <t>71569021</t>
  </si>
  <si>
    <t>71569021 TRAVEL - SCO Aviation</t>
  </si>
  <si>
    <t>73060000</t>
  </si>
  <si>
    <t>73060000 RESEARCH - EXTERNAL SERVICES PURCHASED</t>
  </si>
  <si>
    <t xml:space="preserve">     28.7-</t>
  </si>
  <si>
    <t>IS_E_63400:  CFC - Purchased Expense</t>
  </si>
  <si>
    <t xml:space="preserve">     65.8-</t>
  </si>
  <si>
    <t>51</t>
  </si>
  <si>
    <t>62340000</t>
  </si>
  <si>
    <t>62340000 CUSTOMER CLAIMS - FAULTY PRODUCT</t>
  </si>
  <si>
    <t>74330000</t>
  </si>
  <si>
    <t>74330000 INSURANCE</t>
  </si>
  <si>
    <t xml:space="preserve">      1.2-</t>
  </si>
  <si>
    <t>IS_E_63500:  CFC - Insurance</t>
  </si>
  <si>
    <t>37</t>
  </si>
  <si>
    <t>IS_E_63000:  Purchased Services</t>
  </si>
  <si>
    <t xml:space="preserve">     54.9-</t>
  </si>
  <si>
    <t>52</t>
  </si>
  <si>
    <t>62800000</t>
  </si>
  <si>
    <t>62800000 WAREHOUSE RENTAL</t>
  </si>
  <si>
    <t xml:space="preserve">     81.8-</t>
  </si>
  <si>
    <t>62820000</t>
  </si>
  <si>
    <t>62820000 PALLET RENTAL</t>
  </si>
  <si>
    <t>62820001</t>
  </si>
  <si>
    <t>62820001 PALLET RENTAL RECOVERABLE</t>
  </si>
  <si>
    <t>74000000</t>
  </si>
  <si>
    <t>74000000 RENTAL - PLANT &amp; MACHINERY</t>
  </si>
  <si>
    <t xml:space="preserve">     72.5-</t>
  </si>
  <si>
    <t>74010000</t>
  </si>
  <si>
    <t>74010000 RENTAL - LAND AND BUILDINGS</t>
  </si>
  <si>
    <t xml:space="preserve">     44.4-</t>
  </si>
  <si>
    <t>74020000</t>
  </si>
  <si>
    <t>74020000 RENTAL - OTHER SUNDRY ITEMS</t>
  </si>
  <si>
    <t xml:space="preserve">     95.3-</t>
  </si>
  <si>
    <t>75100000</t>
  </si>
  <si>
    <t>75100000 OPERATING LEASE PMTS</t>
  </si>
  <si>
    <t xml:space="preserve">     74.0-</t>
  </si>
  <si>
    <t>75100001</t>
  </si>
  <si>
    <t>75100001 OPERATING LEASE PMTS PLANT &amp; EQUIPMENT</t>
  </si>
  <si>
    <t xml:space="preserve">     38.4-</t>
  </si>
  <si>
    <t>75100002</t>
  </si>
  <si>
    <t>75100002 OPERATING LEASE PMTS FORKLIFT</t>
  </si>
  <si>
    <t>75100003</t>
  </si>
  <si>
    <t>75100003 OPERATING LEASE PMTS FEL</t>
  </si>
  <si>
    <t xml:space="preserve">     54.6-</t>
  </si>
  <si>
    <t>75100004</t>
  </si>
  <si>
    <t>75100004 OPERATING LEASE PMTS COMPUTER</t>
  </si>
  <si>
    <t xml:space="preserve">      1.6</t>
  </si>
  <si>
    <t xml:space="preserve">     49.3-</t>
  </si>
  <si>
    <t>38</t>
  </si>
  <si>
    <t>IS_E_64000:  Lease Payment</t>
  </si>
  <si>
    <t>54</t>
  </si>
  <si>
    <t>62300000</t>
  </si>
  <si>
    <t>62300000 D/DEBTS PROVIDED-W/OFF-RECOVERED</t>
  </si>
  <si>
    <t xml:space="preserve">    152.6-</t>
  </si>
  <si>
    <t>62320000</t>
  </si>
  <si>
    <t>62320000 BAD TRADE DEBTS RECOVERED</t>
  </si>
  <si>
    <t>IS_E_65100:  CFC - Bad Debt</t>
  </si>
  <si>
    <t xml:space="preserve">    153.2-</t>
  </si>
  <si>
    <t>55</t>
  </si>
  <si>
    <t>64410000</t>
  </si>
  <si>
    <t>64410000 EFFLUENT DISPOSAL COSTS</t>
  </si>
  <si>
    <t xml:space="preserve">     12.1-</t>
  </si>
  <si>
    <t>64690000</t>
  </si>
  <si>
    <t>64690000 ENVIRONMENTAL CLEAN UP COSTS-DEDUCTIBLE</t>
  </si>
  <si>
    <t xml:space="preserve">    353.6</t>
  </si>
  <si>
    <t>IS_E_65200:  CFC - Environmental</t>
  </si>
  <si>
    <t xml:space="preserve">     10.8</t>
  </si>
  <si>
    <t>39</t>
  </si>
  <si>
    <t>IS_E_65000:  Asset Writedowns/Environmental</t>
  </si>
  <si>
    <t xml:space="preserve">    117.8-</t>
  </si>
  <si>
    <t>56</t>
  </si>
  <si>
    <t>71300000</t>
  </si>
  <si>
    <t>71300000 DONATIONS- CHARITABLE&amp;OTHER TAX DEDUCT</t>
  </si>
  <si>
    <t>71320000</t>
  </si>
  <si>
    <t>71320000 DONATIONS- CHARITABLE&amp;OTHER N/TAX DEDUCT</t>
  </si>
  <si>
    <t xml:space="preserve">     92.7-</t>
  </si>
  <si>
    <t>71520000</t>
  </si>
  <si>
    <t>71520000 ENTERTAINMENT - EMPLOYEE SUBJECT TO FBT</t>
  </si>
  <si>
    <t xml:space="preserve">     62.2-</t>
  </si>
  <si>
    <t>71580000</t>
  </si>
  <si>
    <t>71580000 ENTERTAINMENT - CLIENT N/TAX DEDUCT</t>
  </si>
  <si>
    <t xml:space="preserve">     48.0-</t>
  </si>
  <si>
    <t>72100000</t>
  </si>
  <si>
    <t>72100000 APPLICATION&amp;REG OF INTANGIB. NTAX DEDUCT</t>
  </si>
  <si>
    <t xml:space="preserve">     81.4-</t>
  </si>
  <si>
    <t>72900000</t>
  </si>
  <si>
    <t>72900000 GENERAL EXPENSES</t>
  </si>
  <si>
    <t xml:space="preserve">     87.6-</t>
  </si>
  <si>
    <t>72900001</t>
  </si>
  <si>
    <t>72900001 GENERAL EXPENSES TRADE SUBSCRIPTIONS</t>
  </si>
  <si>
    <t xml:space="preserve">     22.3-</t>
  </si>
  <si>
    <t>72900027</t>
  </si>
  <si>
    <t>72900027 GENERAL EXPENSES  - SFS - JV - INCITEC</t>
  </si>
  <si>
    <t>72900100</t>
  </si>
  <si>
    <t>72900100 GENERAL EXPENSES PRINTING / STATIONARY</t>
  </si>
  <si>
    <t xml:space="preserve">     58.5-</t>
  </si>
  <si>
    <t>MISA</t>
  </si>
  <si>
    <t>72900101</t>
  </si>
  <si>
    <t>72900101 GENERAL EXPENSES PRINTING - TAXABLE</t>
  </si>
  <si>
    <t>72900150</t>
  </si>
  <si>
    <t>72900150 PROJECT OFFSET COSTS</t>
  </si>
  <si>
    <t>72900200</t>
  </si>
  <si>
    <t>72900200 GENERAL EXPENSES BOOKS &amp; PERIODICALS</t>
  </si>
  <si>
    <t>72900501</t>
  </si>
  <si>
    <t>72900501 GENERAL EXPENSES FA - EXTERNAL</t>
  </si>
  <si>
    <t>72909022</t>
  </si>
  <si>
    <t>72909022 **SCF Project op Costs (history Only)</t>
  </si>
  <si>
    <t>IS_E_66100:  CFC - Admin</t>
  </si>
  <si>
    <t xml:space="preserve">     95.5-</t>
  </si>
  <si>
    <t>65</t>
  </si>
  <si>
    <t>64300000</t>
  </si>
  <si>
    <t>64300000 FEES &amp; LICENCES</t>
  </si>
  <si>
    <t>72210000</t>
  </si>
  <si>
    <t>72210000 FINES AND PENALTIES- NON TAX DEDUCTIBLE</t>
  </si>
  <si>
    <t xml:space="preserve">  1,650.4-</t>
  </si>
  <si>
    <t>74150000</t>
  </si>
  <si>
    <t>74150000 LAND TAX</t>
  </si>
  <si>
    <t xml:space="preserve">     41.7-</t>
  </si>
  <si>
    <t>IS_E_66200:  CFC - Fees/Taxes</t>
  </si>
  <si>
    <t xml:space="preserve">     48.3-</t>
  </si>
  <si>
    <t>57</t>
  </si>
  <si>
    <t>IS_E_66150:  CFC - Fees/Taxes Net</t>
  </si>
  <si>
    <t>58</t>
  </si>
  <si>
    <t>64360000</t>
  </si>
  <si>
    <t>64360000 TRANSPORT COSTS</t>
  </si>
  <si>
    <t xml:space="preserve">     65.9-</t>
  </si>
  <si>
    <t>64780000</t>
  </si>
  <si>
    <t>64780000 FREIGHT AND CARTAGE INWARDS</t>
  </si>
  <si>
    <t xml:space="preserve">     59.2-</t>
  </si>
  <si>
    <t>64780005</t>
  </si>
  <si>
    <t>64780005 FREIGHT&amp;CARTAGE IN. EQUIP. RELOC.</t>
  </si>
  <si>
    <t xml:space="preserve">     13.7-</t>
  </si>
  <si>
    <t>IS_E_66300:  CFC - Fixed Transport</t>
  </si>
  <si>
    <t>67</t>
  </si>
  <si>
    <t>64150000</t>
  </si>
  <si>
    <t>64150000 MINOR CAPITAL EXP &lt; $1000</t>
  </si>
  <si>
    <t xml:space="preserve">     56.3-</t>
  </si>
  <si>
    <t>64160000</t>
  </si>
  <si>
    <t>64160000 MINOR CAPITAL EXP &lt; $1000, ASSET LIFE &gt; 12 MONTHS</t>
  </si>
  <si>
    <t xml:space="preserve">     12.7</t>
  </si>
  <si>
    <t>64750000</t>
  </si>
  <si>
    <t>64750000 SCRAP AND WASTE COSTS MANUF. SITES</t>
  </si>
  <si>
    <t xml:space="preserve">     68.1-</t>
  </si>
  <si>
    <t>64760000</t>
  </si>
  <si>
    <t>64760000 SAMPLING AND TESTING COSTS MANUF. SITES</t>
  </si>
  <si>
    <t xml:space="preserve">     78.5-</t>
  </si>
  <si>
    <t>64770000</t>
  </si>
  <si>
    <t>64770000 ON SITE VEHICLE EXPENSES</t>
  </si>
  <si>
    <t xml:space="preserve">     87.9-</t>
  </si>
  <si>
    <t>64770012</t>
  </si>
  <si>
    <t>64770012 ON SITE VEHICLE EXPENSES OIL</t>
  </si>
  <si>
    <t xml:space="preserve">     34.3-</t>
  </si>
  <si>
    <t>64770014</t>
  </si>
  <si>
    <t>64770014 ON SITE VEHICLE EXPENSES REGISTRATION</t>
  </si>
  <si>
    <t xml:space="preserve">     29.0-</t>
  </si>
  <si>
    <t>64770017</t>
  </si>
  <si>
    <t>64770017 ON SITE VEHICLE EXPENSES SERVICING</t>
  </si>
  <si>
    <t xml:space="preserve">     20.8</t>
  </si>
  <si>
    <t>64770018</t>
  </si>
  <si>
    <t>64770018 ON SITE VEHICLE EXPENSES BRAKES&amp;SUSPENS.</t>
  </si>
  <si>
    <t xml:space="preserve">     79.0-</t>
  </si>
  <si>
    <t>64770019</t>
  </si>
  <si>
    <t>64770019 ON SITE VEH EXP DRIVE TRAIN ETC.</t>
  </si>
  <si>
    <t>64770020</t>
  </si>
  <si>
    <t>64770020 ON SITE VEH EXP ENGINE</t>
  </si>
  <si>
    <t xml:space="preserve">     96.6-</t>
  </si>
  <si>
    <t>64770021</t>
  </si>
  <si>
    <t>64770021 ON SITE VEH EXP BODY/CHASIS/TURNTABLE</t>
  </si>
  <si>
    <t xml:space="preserve">     69.8-</t>
  </si>
  <si>
    <t>64770022</t>
  </si>
  <si>
    <t>64770022 ON SITE VEH EXP VESSEL/LIFTING EQUIPMENT</t>
  </si>
  <si>
    <t xml:space="preserve">     51.6-</t>
  </si>
  <si>
    <t>64770023</t>
  </si>
  <si>
    <t>64770023 ON SITE VEH EXP PUMP</t>
  </si>
  <si>
    <t xml:space="preserve">     21.2</t>
  </si>
  <si>
    <t>64770024</t>
  </si>
  <si>
    <t>64770024 ON SITE VEH EXP VEHICLE ELECTRICS</t>
  </si>
  <si>
    <t xml:space="preserve">     74.4-</t>
  </si>
  <si>
    <t>64770025</t>
  </si>
  <si>
    <t>64770025 ON SITE VEH EXP ACCIDENT DAMAGE</t>
  </si>
  <si>
    <t>64770027</t>
  </si>
  <si>
    <t>64770027 ON SITE VEH EXP SIGNS &amp; LABELLING</t>
  </si>
  <si>
    <t>64770028</t>
  </si>
  <si>
    <t>64770028 ON SITE VEH EXP SUSPENSION</t>
  </si>
  <si>
    <t xml:space="preserve">     85.6-</t>
  </si>
  <si>
    <t>64770029</t>
  </si>
  <si>
    <t>64770029 ON SITE CRANE HIRE EXPENSES</t>
  </si>
  <si>
    <t xml:space="preserve">     36.2-</t>
  </si>
  <si>
    <t>64770030</t>
  </si>
  <si>
    <t>64770030 ON SITE SCAFFOLDING EXPENSES</t>
  </si>
  <si>
    <t xml:space="preserve">     64.9-</t>
  </si>
  <si>
    <t>69000000</t>
  </si>
  <si>
    <t>69000000 FIXED COST RECOVERIES</t>
  </si>
  <si>
    <t xml:space="preserve">     58.4</t>
  </si>
  <si>
    <t>69000001</t>
  </si>
  <si>
    <t>69000001 FIXED COST RECOVERIES  SOIL TEST</t>
  </si>
  <si>
    <t xml:space="preserve">     87.2</t>
  </si>
  <si>
    <t>69000003</t>
  </si>
  <si>
    <t>69000003 PROCESS COSTS- BUDGET GAP</t>
  </si>
  <si>
    <t>69000005</t>
  </si>
  <si>
    <t>69000005 FIXED COST RECOVERIES TECHNOLOGY</t>
  </si>
  <si>
    <t>69000007</t>
  </si>
  <si>
    <t>69000007 FIXED COST RECOVERIES ENGINEERING</t>
  </si>
  <si>
    <t xml:space="preserve">     88.9</t>
  </si>
  <si>
    <t>69000008</t>
  </si>
  <si>
    <t>69000008 FIXED COST RECOVERIES-MAJOR HAZARD FACILITY</t>
  </si>
  <si>
    <t xml:space="preserve">     68.6</t>
  </si>
  <si>
    <t>69000009</t>
  </si>
  <si>
    <t>69000009 MANUFACTURING ADMIN RECOVERY</t>
  </si>
  <si>
    <t>*666566.7-</t>
  </si>
  <si>
    <t>69000011</t>
  </si>
  <si>
    <t>69000011 MANUFACTURING MAINTENANCE RECOVERY</t>
  </si>
  <si>
    <t xml:space="preserve">    122.5</t>
  </si>
  <si>
    <t>69000014</t>
  </si>
  <si>
    <t>69000014 IPL OVERHEADS RECOVERY</t>
  </si>
  <si>
    <t xml:space="preserve">     46.7</t>
  </si>
  <si>
    <t>69000018</t>
  </si>
  <si>
    <t>69000018 MANUFACTURING SH&amp;E RECOVERY</t>
  </si>
  <si>
    <t>69000020</t>
  </si>
  <si>
    <t>69000020 HR Recruitment Recovery</t>
  </si>
  <si>
    <t>72910000</t>
  </si>
  <si>
    <t>72910000 GENERAL EXPENSES - NON TAX DEDUCTIBLE</t>
  </si>
  <si>
    <t xml:space="preserve">     81.0-</t>
  </si>
  <si>
    <t>73190000</t>
  </si>
  <si>
    <t>73190000 PRE SANCTION EXPENSES</t>
  </si>
  <si>
    <t>IS_E_66400:  CFC - Site Expenses</t>
  </si>
  <si>
    <t xml:space="preserve">     58.9</t>
  </si>
  <si>
    <t>59</t>
  </si>
  <si>
    <t>IS_E_66350:  CFC - Site Expenses Net</t>
  </si>
  <si>
    <t>60</t>
  </si>
  <si>
    <t>86830000</t>
  </si>
  <si>
    <t>86830000 HOLDING A/C - CONTRACTORS</t>
  </si>
  <si>
    <t xml:space="preserve">     43.7-</t>
  </si>
  <si>
    <t>86840000</t>
  </si>
  <si>
    <t>86840000 HOLDING A/C - CONSULTANTS</t>
  </si>
  <si>
    <t>86850000</t>
  </si>
  <si>
    <t>86850000 HOLDING A/C - SUPPLIES</t>
  </si>
  <si>
    <t>86850001</t>
  </si>
  <si>
    <t>86850001 HOLDING A/C - OTHER</t>
  </si>
  <si>
    <t>86870000</t>
  </si>
  <si>
    <t>86870000 HOLDING A/C - SETTLEMENT</t>
  </si>
  <si>
    <t xml:space="preserve">     43.7</t>
  </si>
  <si>
    <t>87010002</t>
  </si>
  <si>
    <t>87010002 PRODUCT COST</t>
  </si>
  <si>
    <t xml:space="preserve">    100.9</t>
  </si>
  <si>
    <t>87010005</t>
  </si>
  <si>
    <t>87010005 PORT CHARGES</t>
  </si>
  <si>
    <t>87010008</t>
  </si>
  <si>
    <t>87010008 WORKS COSTS</t>
  </si>
  <si>
    <t>87010011</t>
  </si>
  <si>
    <t>87010011 SUNDRY</t>
  </si>
  <si>
    <t>87010013</t>
  </si>
  <si>
    <t>87010013 SETTLEMENT ACCOUNT</t>
  </si>
  <si>
    <t xml:space="preserve">     69.1</t>
  </si>
  <si>
    <t>87010014</t>
  </si>
  <si>
    <t>87010014 WORKS COSTS</t>
  </si>
  <si>
    <t xml:space="preserve">    304.8</t>
  </si>
  <si>
    <t>87020005</t>
  </si>
  <si>
    <t>87020005 CURRENT OTHER DEBTORS CLEARING PHOS CHARGE OUT.</t>
  </si>
  <si>
    <t xml:space="preserve">     61.6</t>
  </si>
  <si>
    <t>IS_E_66500:  CFC - Secondary costs/Allocation</t>
  </si>
  <si>
    <t xml:space="preserve">     69.4</t>
  </si>
  <si>
    <t>61</t>
  </si>
  <si>
    <t>64020000</t>
  </si>
  <si>
    <t>64020000 OTHER FIX AIDS MANUF</t>
  </si>
  <si>
    <t xml:space="preserve">     32.6-</t>
  </si>
  <si>
    <t>64020013</t>
  </si>
  <si>
    <t>64020013 OTHER FIX AIDS MANUF CAUSTIC SODA</t>
  </si>
  <si>
    <t xml:space="preserve">    336.2</t>
  </si>
  <si>
    <t>64020014</t>
  </si>
  <si>
    <t>64020014 OTHER FIX AIDS MANUF CHLORINE</t>
  </si>
  <si>
    <t>64020019</t>
  </si>
  <si>
    <t>64020019 OTHER FIX AIDS MANUF COOL H20 CONTRACT</t>
  </si>
  <si>
    <t>64020024</t>
  </si>
  <si>
    <t>64020024 OTHER FIX AIDS MANUF GASES</t>
  </si>
  <si>
    <t>64020025</t>
  </si>
  <si>
    <t>64020025 OTHER FIX AIDS MANUF GEN CHEM SUPPLIES</t>
  </si>
  <si>
    <t xml:space="preserve">     26.9-</t>
  </si>
  <si>
    <t>64020044</t>
  </si>
  <si>
    <t>64020044 OTHER FIX AIDS MANUF DISTILLATE</t>
  </si>
  <si>
    <t xml:space="preserve">     59.3-</t>
  </si>
  <si>
    <t>64020049</t>
  </si>
  <si>
    <t>64020049 OTHER FIX AIDS MANUF ENVIRONMENTAL</t>
  </si>
  <si>
    <t xml:space="preserve">    121.8</t>
  </si>
  <si>
    <t>64020054</t>
  </si>
  <si>
    <t>64020054 OTHER FIX AIDS MANUF LABORATORY EQUIP</t>
  </si>
  <si>
    <t xml:space="preserve">     68.7-</t>
  </si>
  <si>
    <t>64020065</t>
  </si>
  <si>
    <t>64020065 OTHER FIX AIDS MANUF WASHDOWN</t>
  </si>
  <si>
    <t xml:space="preserve">     86.2-</t>
  </si>
  <si>
    <t>64020075</t>
  </si>
  <si>
    <t>64020075 OTHER FIX AIDS MANUF FUEL &amp; OIL</t>
  </si>
  <si>
    <t xml:space="preserve">     58.6-</t>
  </si>
  <si>
    <t>64020086</t>
  </si>
  <si>
    <t>64020086 OTHER FIX AIDS MANUF PM STORES ISSUES</t>
  </si>
  <si>
    <t xml:space="preserve">    646.3</t>
  </si>
  <si>
    <t>64020091</t>
  </si>
  <si>
    <t>64020091 Demin Water Contract</t>
  </si>
  <si>
    <t xml:space="preserve">      2.2-</t>
  </si>
  <si>
    <t>64500000</t>
  </si>
  <si>
    <t>64500000 PROT. &amp; CORP CLOTHING/SAFETY EQUIPMENT</t>
  </si>
  <si>
    <t xml:space="preserve">     43.0-</t>
  </si>
  <si>
    <t>64500002</t>
  </si>
  <si>
    <t>64500002 SAFETY PROMOTIONS</t>
  </si>
  <si>
    <t xml:space="preserve">     76.1-</t>
  </si>
  <si>
    <t>64550000</t>
  </si>
  <si>
    <t>64550000 CORPORATE CLOTHING (SUBJECT TO FBT)</t>
  </si>
  <si>
    <t xml:space="preserve">     65.5-</t>
  </si>
  <si>
    <t>64700000</t>
  </si>
  <si>
    <t>64700000 START UP COSTS</t>
  </si>
  <si>
    <t>73200000</t>
  </si>
  <si>
    <t>73200000 OFFICE MGMT COSTS GEN.</t>
  </si>
  <si>
    <t xml:space="preserve">     55.9-</t>
  </si>
  <si>
    <t>73200004</t>
  </si>
  <si>
    <t>73200004 OFFICE MGMT COSTS GEN. COURIER SERVICES</t>
  </si>
  <si>
    <t xml:space="preserve">     57.7-</t>
  </si>
  <si>
    <t>73200005</t>
  </si>
  <si>
    <t>73200005 OFFICE MGMT COSTS GEN. POSTAGE</t>
  </si>
  <si>
    <t xml:space="preserve">     53.2-</t>
  </si>
  <si>
    <t>73710000</t>
  </si>
  <si>
    <t>73710000 PRINTING</t>
  </si>
  <si>
    <t xml:space="preserve">    108.5</t>
  </si>
  <si>
    <t>73770000</t>
  </si>
  <si>
    <t>73770000 Consumable Stores Used / VISA&amp;AMEX paid in Abense</t>
  </si>
  <si>
    <t>IS_E_66600:  CFC - Supplies</t>
  </si>
  <si>
    <t>333</t>
  </si>
  <si>
    <t>73070000</t>
  </si>
  <si>
    <t>73070000 DEVELOPMENT EXPENSES</t>
  </si>
  <si>
    <t>73180000</t>
  </si>
  <si>
    <t>73180000 OTHER COSTS RESEARCH &amp; DEVELOPMENT</t>
  </si>
  <si>
    <t xml:space="preserve">     80.2-</t>
  </si>
  <si>
    <t>62</t>
  </si>
  <si>
    <t>70000000</t>
  </si>
  <si>
    <t>70000000 TELECOMMUNICATIONS- DATA PROCESSING- IT</t>
  </si>
  <si>
    <t xml:space="preserve">     59.0-</t>
  </si>
  <si>
    <t>70000001</t>
  </si>
  <si>
    <t>70000001 TELECOMM. DATA PRO IT T/PHONE RENT&amp;USAGE</t>
  </si>
  <si>
    <t xml:space="preserve">     63.8-</t>
  </si>
  <si>
    <t>70000002</t>
  </si>
  <si>
    <t>70000002 RADIO COMMUNICATIONS- IT</t>
  </si>
  <si>
    <t xml:space="preserve">     44.9-</t>
  </si>
  <si>
    <t>70490000</t>
  </si>
  <si>
    <t>70490000 SOFTWARE PURCH. OR DEVELP EXP CAP TAX</t>
  </si>
  <si>
    <t xml:space="preserve">    103.7-</t>
  </si>
  <si>
    <t>70510000</t>
  </si>
  <si>
    <t>70510000 SOFTWARE PACKAGES - YEARLY MAINTENANCE</t>
  </si>
  <si>
    <t xml:space="preserve">     30.0-</t>
  </si>
  <si>
    <t>IS_E_66700:  CFC - IT &amp; Communication</t>
  </si>
  <si>
    <t xml:space="preserve">     56.4-</t>
  </si>
  <si>
    <t>63</t>
  </si>
  <si>
    <t>92200000</t>
  </si>
  <si>
    <t>92200000 CORPORATE ALLOCATIONS</t>
  </si>
  <si>
    <t>92300000</t>
  </si>
  <si>
    <t>92300000 IT SHARED SERVICE ALLOCATIONS</t>
  </si>
  <si>
    <t xml:space="preserve">    247.2</t>
  </si>
  <si>
    <t>92300001</t>
  </si>
  <si>
    <t>92300001 IT SHARED SERVICE SLA CHARGES</t>
  </si>
  <si>
    <t>92600000</t>
  </si>
  <si>
    <t>92600000 SHE SHARED SERVICE ALLOCATIONS</t>
  </si>
  <si>
    <t xml:space="preserve">  7,511.2</t>
  </si>
  <si>
    <t>IS_E_66800:  CFC - HQ Allocations</t>
  </si>
  <si>
    <t xml:space="preserve"> 32,839.5-</t>
  </si>
  <si>
    <t>64</t>
  </si>
  <si>
    <t>68000000</t>
  </si>
  <si>
    <t>68000000 FINANCIAL FEES &amp; CHARGES</t>
  </si>
  <si>
    <t>IS_E_66900:  CFC - Financial Expense</t>
  </si>
  <si>
    <t>40</t>
  </si>
  <si>
    <t>IS_E_66000:  Other Expenses</t>
  </si>
  <si>
    <t xml:space="preserve">     51.3</t>
  </si>
  <si>
    <t>44</t>
  </si>
  <si>
    <t>IS_CFC:  CASH FIXED COSTS</t>
  </si>
  <si>
    <t xml:space="preserve">     56.8-</t>
  </si>
  <si>
    <t>82</t>
  </si>
  <si>
    <t>66010000</t>
  </si>
  <si>
    <t>66010000 FIXED COSTS IN COS</t>
  </si>
  <si>
    <t xml:space="preserve">     49.9-</t>
  </si>
  <si>
    <t>66010500</t>
  </si>
  <si>
    <t>66010500 FIX COS NH3 SWAPS</t>
  </si>
  <si>
    <t>66011000</t>
  </si>
  <si>
    <t>66011000 FIXED COST COS - PRICING CONDITION</t>
  </si>
  <si>
    <t xml:space="preserve">     91.2-</t>
  </si>
  <si>
    <t>66012000</t>
  </si>
  <si>
    <t>66012000 BULK STORAGE &amp; DESPATCH FIXED COST RECOVERY</t>
  </si>
  <si>
    <t xml:space="preserve">     91.3</t>
  </si>
  <si>
    <t>66014000</t>
  </si>
  <si>
    <t>66014000 WAREHOUSING FIXED COST RECOVERY</t>
  </si>
  <si>
    <t xml:space="preserve">     84.7</t>
  </si>
  <si>
    <t>66100000</t>
  </si>
  <si>
    <t>66100000 FIXED COST OF MANUF-PERIOD STD</t>
  </si>
  <si>
    <t xml:space="preserve">     47.2</t>
  </si>
  <si>
    <t>66100001</t>
  </si>
  <si>
    <t>66100001 FIXED COST OF MANUF-BULK STORAGE: FCIS</t>
  </si>
  <si>
    <t xml:space="preserve">    164.9-</t>
  </si>
  <si>
    <t>66100002</t>
  </si>
  <si>
    <t>66100002 FIXED COST OF MANUF-WAREHOUSING: FCIS</t>
  </si>
  <si>
    <t>66100004</t>
  </si>
  <si>
    <t>66100004 FIXED COST OF MANUF-ACID HANDLING: FCIS</t>
  </si>
  <si>
    <t xml:space="preserve">     54.0</t>
  </si>
  <si>
    <t>66100005</t>
  </si>
  <si>
    <t>66100005 FIXED COST OF MANUF-ADJUSTMENT</t>
  </si>
  <si>
    <t>IS_FSM:  FIXED COST IN STOCK MOVEMENT</t>
  </si>
  <si>
    <t xml:space="preserve">    597.4-</t>
  </si>
  <si>
    <t>110</t>
  </si>
  <si>
    <t>31800000</t>
  </si>
  <si>
    <t>31800000 EXTERNAL OTHER INCOME</t>
  </si>
  <si>
    <t xml:space="preserve">    123.5</t>
  </si>
  <si>
    <t>31800002</t>
  </si>
  <si>
    <t>31800002 EXTERNAL OTHER INCOME</t>
  </si>
  <si>
    <t xml:space="preserve">  1,562.1-</t>
  </si>
  <si>
    <t>IS_R_35141:  Other Income - External</t>
  </si>
  <si>
    <t xml:space="preserve">    121.7</t>
  </si>
  <si>
    <t>104</t>
  </si>
  <si>
    <t>IS_R_35140:  Other Income</t>
  </si>
  <si>
    <t>116</t>
  </si>
  <si>
    <t>33500013</t>
  </si>
  <si>
    <t>33500013 EXTERNAL RENT RECEIVED LICENCE FEES</t>
  </si>
  <si>
    <t xml:space="preserve">     62.6</t>
  </si>
  <si>
    <t>IS_R_35181:  Rental Income - External</t>
  </si>
  <si>
    <t>106</t>
  </si>
  <si>
    <t>IS_R_35180:  Rental Income</t>
  </si>
  <si>
    <t>87</t>
  </si>
  <si>
    <t>IS_R_35100:  Management and Other Fees</t>
  </si>
  <si>
    <t xml:space="preserve">    120.6</t>
  </si>
  <si>
    <t>88</t>
  </si>
  <si>
    <t>68600002</t>
  </si>
  <si>
    <t>68600002 FX - UNREALIZED ACCOUNTS PAYABLE/RECEIVABLE</t>
  </si>
  <si>
    <t>68610000</t>
  </si>
  <si>
    <t>68610000 FX GAINS/LOSSES - REALISED AP</t>
  </si>
  <si>
    <t>IS_R_35200:  Foreign Exchange - Trading Gains</t>
  </si>
  <si>
    <t>89</t>
  </si>
  <si>
    <t>68600000</t>
  </si>
  <si>
    <t>68600000 FX GAINS/LOSSES-UNREALISED-TIMING</t>
  </si>
  <si>
    <t xml:space="preserve">    111.3</t>
  </si>
  <si>
    <t>68600001</t>
  </si>
  <si>
    <t>68600001 FX GAINS/LOSSES-REALISED-TIMING AR</t>
  </si>
  <si>
    <t>68610001</t>
  </si>
  <si>
    <t>68610001 FX GAINS/LOSSES - REALISED BANK REVALS</t>
  </si>
  <si>
    <t>68660000</t>
  </si>
  <si>
    <t>68660000 FX GAINS/LOSSES UNREALISED N/TIMING</t>
  </si>
  <si>
    <t>IS_R_35250:  Foreign Exchange - Treasury Gain</t>
  </si>
  <si>
    <t xml:space="preserve">    113.6-</t>
  </si>
  <si>
    <t>91</t>
  </si>
  <si>
    <t>32300004</t>
  </si>
  <si>
    <t>32300004 P/L ON SALE OF MINOR F/A-TAXABLE/DEDUCT</t>
  </si>
  <si>
    <t>IS_R_35300:  Gain/(loss) on Sale of FA</t>
  </si>
  <si>
    <t>99</t>
  </si>
  <si>
    <t>38180000</t>
  </si>
  <si>
    <t>38180000 EXTERNAL DIVIDEND INCOME - GROSS</t>
  </si>
  <si>
    <t>IS_R_35451:  Dividend Income - External</t>
  </si>
  <si>
    <t>95</t>
  </si>
  <si>
    <t>IS_R_35450:  Dividend Income</t>
  </si>
  <si>
    <t>84</t>
  </si>
  <si>
    <t>IS_OTI:  OTHER INCOME</t>
  </si>
  <si>
    <t xml:space="preserve">     75.9</t>
  </si>
  <si>
    <t xml:space="preserve"> 6</t>
  </si>
  <si>
    <t>34</t>
  </si>
  <si>
    <t>IS_EBITDA:  Earnings before Dep'n, Int &amp; Tax</t>
  </si>
  <si>
    <t xml:space="preserve">     82.6</t>
  </si>
  <si>
    <t>120</t>
  </si>
  <si>
    <t>74610000</t>
  </si>
  <si>
    <t>74610000 DEPRECIATION -TAX DEDUCT</t>
  </si>
  <si>
    <t xml:space="preserve">     58.2-</t>
  </si>
  <si>
    <t>74610100</t>
  </si>
  <si>
    <t>74610100 DEPRECIATION EXPENSE TAX DEPRECIABLE ASSETS</t>
  </si>
  <si>
    <t>74610500</t>
  </si>
  <si>
    <t>74610500 DEPRECIATION- SHUTDOWNS</t>
  </si>
  <si>
    <t xml:space="preserve">     13.1-</t>
  </si>
  <si>
    <t>74620000</t>
  </si>
  <si>
    <t>74620000 DEPRECIATION - NON TAX DEDUCTIBLE</t>
  </si>
  <si>
    <t>IS_E_69200:  Depn-Impairment</t>
  </si>
  <si>
    <t xml:space="preserve">     50.2-</t>
  </si>
  <si>
    <t>122</t>
  </si>
  <si>
    <t>68840000</t>
  </si>
  <si>
    <t>68840000 AMORT OF INTANGIBLE ASSETS - TAX DEDUCTIBLE</t>
  </si>
  <si>
    <t xml:space="preserve">     46.9-</t>
  </si>
  <si>
    <t>IS_E_69400:  Amortization</t>
  </si>
  <si>
    <t>119</t>
  </si>
  <si>
    <t>IS_E_69100:  Depreciation</t>
  </si>
  <si>
    <t>129</t>
  </si>
  <si>
    <t>IS_DPA:     Depreciation &amp; Amortization</t>
  </si>
  <si>
    <t xml:space="preserve"> 5</t>
  </si>
  <si>
    <t>123</t>
  </si>
  <si>
    <t>IS_EBIT:  Earnings before Interest &amp; Tax</t>
  </si>
  <si>
    <t xml:space="preserve">     84.1</t>
  </si>
  <si>
    <t>127</t>
  </si>
  <si>
    <t>30030000</t>
  </si>
  <si>
    <t>30030000 INCOME TAX EXPENSE P/YEAR UNDER/OVER</t>
  </si>
  <si>
    <t>30040000</t>
  </si>
  <si>
    <t>30040000 INCOME TAX EXPENSE</t>
  </si>
  <si>
    <t xml:space="preserve">     88.2-</t>
  </si>
  <si>
    <t>IS_E_90000:  Taxes - Current</t>
  </si>
  <si>
    <t xml:space="preserve">     87.7-</t>
  </si>
  <si>
    <t>124</t>
  </si>
  <si>
    <t>IS_TAX:   Tax</t>
  </si>
  <si>
    <t>132</t>
  </si>
  <si>
    <t>37900000</t>
  </si>
  <si>
    <t>37900000 INTEREST INCOME- OTHER</t>
  </si>
  <si>
    <t>37900001</t>
  </si>
  <si>
    <t>37900001 INTEREST INCOME S/T EXT BANK INT</t>
  </si>
  <si>
    <t xml:space="preserve">      5.9-</t>
  </si>
  <si>
    <t>37920000</t>
  </si>
  <si>
    <t>37920000 INTEREST INCOME S/T EXTERNAL OTHER</t>
  </si>
  <si>
    <t>37920001</t>
  </si>
  <si>
    <t>37920001 INTEREST INCOME S/T EXT DEBTOR INT</t>
  </si>
  <si>
    <t xml:space="preserve">     56.8</t>
  </si>
  <si>
    <t>37920004</t>
  </si>
  <si>
    <t>37920004 INTEREST INCOME S/T EXT DEBTOR INT</t>
  </si>
  <si>
    <t xml:space="preserve">    128.4</t>
  </si>
  <si>
    <t>IS_R_93100:  Interest - Income External</t>
  </si>
  <si>
    <t>134</t>
  </si>
  <si>
    <t>38010000</t>
  </si>
  <si>
    <t>38010000 I/M INT. &amp; FINANCING INCOME</t>
  </si>
  <si>
    <t xml:space="preserve">    401.4-</t>
  </si>
  <si>
    <t>IS_R_93300:  Interest - Income Intercompany</t>
  </si>
  <si>
    <t>130</t>
  </si>
  <si>
    <t>IS_R_93000:  Interest Income</t>
  </si>
  <si>
    <t xml:space="preserve">    104.4-</t>
  </si>
  <si>
    <t>135</t>
  </si>
  <si>
    <t>67900000</t>
  </si>
  <si>
    <t>67900000 INTEREST PAID S/T EXT BANK</t>
  </si>
  <si>
    <t xml:space="preserve">      2.9</t>
  </si>
  <si>
    <t>67920000</t>
  </si>
  <si>
    <t>67920000 INTEREST PAID S/T EXT OTHER-MONEY MARKET</t>
  </si>
  <si>
    <t>67920006</t>
  </si>
  <si>
    <t>67920006 INTEREST PAID S/T EXT OTHER</t>
  </si>
  <si>
    <t xml:space="preserve">     59.8-</t>
  </si>
  <si>
    <t>67940000</t>
  </si>
  <si>
    <t>67940000 INTEREST PAID L/T EXT BANK</t>
  </si>
  <si>
    <t xml:space="preserve">     74.3-</t>
  </si>
  <si>
    <t>IS_E_94100:  Interest - Expense External</t>
  </si>
  <si>
    <t>137</t>
  </si>
  <si>
    <t>68320000</t>
  </si>
  <si>
    <t>68320000 I/M INTEREST &amp; FINANCING</t>
  </si>
  <si>
    <t xml:space="preserve">     20.5</t>
  </si>
  <si>
    <t>68320300</t>
  </si>
  <si>
    <t>68320300 I/M INT &amp; FINANCING S/T COLTIVI INSURANCE</t>
  </si>
  <si>
    <t>IS_E_94300:  Interest - Expense Intercompany</t>
  </si>
  <si>
    <t xml:space="preserve">     21.4</t>
  </si>
  <si>
    <t>140</t>
  </si>
  <si>
    <t>67990000</t>
  </si>
  <si>
    <t>67990000 UNWINDING OF DISCOUNT ON PROVISIONS</t>
  </si>
  <si>
    <t xml:space="preserve">    221.4</t>
  </si>
  <si>
    <t>IS_E_96000:  Interest - Accretion</t>
  </si>
  <si>
    <t>131</t>
  </si>
  <si>
    <t>IS_E_94000:  Interest Expense</t>
  </si>
  <si>
    <t xml:space="preserve">     40.5-</t>
  </si>
  <si>
    <t>125</t>
  </si>
  <si>
    <t>IS_INT:   Interest</t>
  </si>
  <si>
    <t>142</t>
  </si>
  <si>
    <t>30070000</t>
  </si>
  <si>
    <t>30070000 SIGNIFICANT ITEMS</t>
  </si>
  <si>
    <t xml:space="preserve">    364.3</t>
  </si>
  <si>
    <t>IS_E_92000:  Individual Material Items - Gros</t>
  </si>
  <si>
    <t>143</t>
  </si>
  <si>
    <t>30050000</t>
  </si>
  <si>
    <t xml:space="preserve">    364.3-</t>
  </si>
  <si>
    <t>IS_E_92100:  Taxes - IMIs</t>
  </si>
  <si>
    <t>126</t>
  </si>
  <si>
    <t>IS_IMI:   Individual Material Items</t>
  </si>
  <si>
    <t xml:space="preserve"> 4</t>
  </si>
  <si>
    <t>144</t>
  </si>
  <si>
    <t>IS_NPAT:  Net Profit After Tax</t>
  </si>
  <si>
    <t xml:space="preserve">     92.7</t>
  </si>
  <si>
    <t xml:space="preserve"> 3</t>
  </si>
  <si>
    <t>146</t>
  </si>
  <si>
    <t>IS_NPATMI:  Net Profit After Tax and Min Int</t>
  </si>
  <si>
    <t xml:space="preserve"> 2</t>
  </si>
  <si>
    <t>269</t>
  </si>
  <si>
    <t>IS_Income Statement</t>
  </si>
  <si>
    <t>147</t>
  </si>
  <si>
    <t>10000000</t>
  </si>
  <si>
    <t>10000000 CASH ON HAND</t>
  </si>
  <si>
    <t>BS_A_10110:  Cash-Petty Cash</t>
  </si>
  <si>
    <t>148</t>
  </si>
  <si>
    <t>10050000</t>
  </si>
  <si>
    <t>10050000 Cash in Transit</t>
  </si>
  <si>
    <t>10100043</t>
  </si>
  <si>
    <t>10100043 CASH CLEARING - WBC RECD VIA AUST POST</t>
  </si>
  <si>
    <t xml:space="preserve">      9.8-</t>
  </si>
  <si>
    <t>10100048</t>
  </si>
  <si>
    <t>10100048 WBC Clearing Miscellaneous</t>
  </si>
  <si>
    <t xml:space="preserve">     65.3</t>
  </si>
  <si>
    <t>10100050</t>
  </si>
  <si>
    <t>10100050 Cash clearing - Transfer payable balance to credit</t>
  </si>
  <si>
    <t>10100051</t>
  </si>
  <si>
    <t>10100051 Cash clearing - Transfer receivable balance to deb</t>
  </si>
  <si>
    <t xml:space="preserve">     97.5-</t>
  </si>
  <si>
    <t>10100104</t>
  </si>
  <si>
    <t>10100104 CASH AT BANK - WESTPAC AUD</t>
  </si>
  <si>
    <t xml:space="preserve">      5.2</t>
  </si>
  <si>
    <t>10100105</t>
  </si>
  <si>
    <t>10100105 WBC AP Clearing AUD</t>
  </si>
  <si>
    <t>10100108</t>
  </si>
  <si>
    <t>10100108 CASH WESTPAC USD</t>
  </si>
  <si>
    <t xml:space="preserve">     34.0-</t>
  </si>
  <si>
    <t>10100110</t>
  </si>
  <si>
    <t>10100110 WBC AR Clearing USD</t>
  </si>
  <si>
    <t xml:space="preserve">     98.0</t>
  </si>
  <si>
    <t>10100120</t>
  </si>
  <si>
    <t>10100120 WBC AR Clearing EFT</t>
  </si>
  <si>
    <t>10100125</t>
  </si>
  <si>
    <t>10100125 WBC Non-AR Miscellaneous Deposits</t>
  </si>
  <si>
    <t>10100129</t>
  </si>
  <si>
    <t>10100129 WBC AR Clearing Merchant Facility</t>
  </si>
  <si>
    <t>BS_A_10120:  Cash-External Bank</t>
  </si>
  <si>
    <t xml:space="preserve">     25.3-</t>
  </si>
  <si>
    <t>150</t>
  </si>
  <si>
    <t>10200000</t>
  </si>
  <si>
    <t>10200000 DEPOSITS AT CALL</t>
  </si>
  <si>
    <t xml:space="preserve">     25.9</t>
  </si>
  <si>
    <t>10200002</t>
  </si>
  <si>
    <t>10200002 DEPOSITS AT CALL - USD</t>
  </si>
  <si>
    <t>BS_A_10140:  Other S/T Investments (0-3 month</t>
  </si>
  <si>
    <t xml:space="preserve">     10.9</t>
  </si>
  <si>
    <t>152</t>
  </si>
  <si>
    <t>BS_A_10100:  Cash At Bank And On Hand</t>
  </si>
  <si>
    <t xml:space="preserve">      7.7</t>
  </si>
  <si>
    <t>165</t>
  </si>
  <si>
    <t>BS_A_10000:  Total Cash And Cash Equivalents</t>
  </si>
  <si>
    <t>181</t>
  </si>
  <si>
    <t>11000000</t>
  </si>
  <si>
    <t>11000000 TRADE DEBTORS - EXTERNAL</t>
  </si>
  <si>
    <t xml:space="preserve">     71.2-</t>
  </si>
  <si>
    <t>11000001</t>
  </si>
  <si>
    <t>11000001 TRADE DEBTORS - EXT - Late Cash</t>
  </si>
  <si>
    <t xml:space="preserve">     95.1</t>
  </si>
  <si>
    <t>11000003</t>
  </si>
  <si>
    <t>11000003 TRADE DRS - CBA RECEIVABLES FACILITY</t>
  </si>
  <si>
    <t xml:space="preserve">     46.8</t>
  </si>
  <si>
    <t>11000004</t>
  </si>
  <si>
    <t>11000004 TRADE DRS - NAB RECEIVABLES FACILITY</t>
  </si>
  <si>
    <t xml:space="preserve">     38.9</t>
  </si>
  <si>
    <t>11000006</t>
  </si>
  <si>
    <t>11000006 TRADE DEBTORS - EXT - DOWN PAYMENTS</t>
  </si>
  <si>
    <t xml:space="preserve">    210.6-</t>
  </si>
  <si>
    <t>11000450</t>
  </si>
  <si>
    <t>11000450 TRADE DEBTORS - EXT - ADJUST FOR CREDIT BAL IN DRS</t>
  </si>
  <si>
    <t xml:space="preserve">    329.1</t>
  </si>
  <si>
    <t>11000455</t>
  </si>
  <si>
    <t>11000455 TRADE DEBTORS - EXT - ADJUST FOR DEBIT BAL IN CRS</t>
  </si>
  <si>
    <t xml:space="preserve">     55.4</t>
  </si>
  <si>
    <t>BS_A_11110:  Trade Debtors - External</t>
  </si>
  <si>
    <t xml:space="preserve">     49.2-</t>
  </si>
  <si>
    <t>183</t>
  </si>
  <si>
    <t>11900000</t>
  </si>
  <si>
    <t>11900000 INTERMERGER TRD DRS-SYSTEM</t>
  </si>
  <si>
    <t xml:space="preserve">    121.5</t>
  </si>
  <si>
    <t>11900001</t>
  </si>
  <si>
    <t>11900001 INTERMERGER TRD DRS</t>
  </si>
  <si>
    <t xml:space="preserve">  3,752.3-</t>
  </si>
  <si>
    <t>MANF</t>
  </si>
  <si>
    <t>11970000</t>
  </si>
  <si>
    <t>11970000 INTERGROUP TRADE DEBTORS</t>
  </si>
  <si>
    <t>BS_A_11140:  Trade Debtors - Controlled Entit</t>
  </si>
  <si>
    <t xml:space="preserve">    237.4</t>
  </si>
  <si>
    <t>196</t>
  </si>
  <si>
    <t>11090000</t>
  </si>
  <si>
    <t>11090000 CURRENT PROVISION FOR DOUBTFUL DEBTS TRADE</t>
  </si>
  <si>
    <t xml:space="preserve">     47.3</t>
  </si>
  <si>
    <t>BS_L_11151:  Trade Debtors - Impairment Losse</t>
  </si>
  <si>
    <t>184</t>
  </si>
  <si>
    <t>BS_L_11150:  Total impairment loss</t>
  </si>
  <si>
    <t>155</t>
  </si>
  <si>
    <t>BS_A_11100:  Trade Receivables</t>
  </si>
  <si>
    <t>185</t>
  </si>
  <si>
    <t>11130000</t>
  </si>
  <si>
    <t>11130000 CURRENT OTHER DEBTORS - FROM SALE OF FIXED ASSETS</t>
  </si>
  <si>
    <t xml:space="preserve">     25.5-</t>
  </si>
  <si>
    <t>11200000</t>
  </si>
  <si>
    <t>11200000 CURRENT OTHER DEBTORS - NON TIMING</t>
  </si>
  <si>
    <t xml:space="preserve">    421.7-</t>
  </si>
  <si>
    <t>11200003</t>
  </si>
  <si>
    <t>11200003 CURRENT OTHER DEBTORS - NON TIMING - ORICA</t>
  </si>
  <si>
    <t>11200310</t>
  </si>
  <si>
    <t>11200310 CURRENT OTHER DEBTORS CLEARING PHOS CHARGE OUT</t>
  </si>
  <si>
    <t xml:space="preserve">    288.8</t>
  </si>
  <si>
    <t>11201000</t>
  </si>
  <si>
    <t>11201000 SUNDRY DEBTORS- RENT DEPOSITS</t>
  </si>
  <si>
    <t>11201100</t>
  </si>
  <si>
    <t>11201100 SDRY DRS - GST ON PREPAYMENTS</t>
  </si>
  <si>
    <t xml:space="preserve">    318.1</t>
  </si>
  <si>
    <t>11202000</t>
  </si>
  <si>
    <t>11202000 NON-TRADE DEBTORS - EXTERNAL</t>
  </si>
  <si>
    <t xml:space="preserve">     41.9-</t>
  </si>
  <si>
    <t>11310000</t>
  </si>
  <si>
    <t>11310000 EXTERNAL INTEREST RECEIVABLE</t>
  </si>
  <si>
    <t xml:space="preserve">     16.4</t>
  </si>
  <si>
    <t>BS_A_11300:  Sundry Debtors - External</t>
  </si>
  <si>
    <t xml:space="preserve">    331.9-</t>
  </si>
  <si>
    <t>187</t>
  </si>
  <si>
    <t>11202100</t>
  </si>
  <si>
    <t>11202100 INTERCOMPANY DEBTORS - DYNO NOBEL (ONCHARGE)</t>
  </si>
  <si>
    <t>11202200</t>
  </si>
  <si>
    <t>11202200 INTERCOMPANY DEBTORS - DYNO NOBEL INC</t>
  </si>
  <si>
    <t>11202300</t>
  </si>
  <si>
    <t>11202300 INTERCOMPANY DEBTORS - DYNO NOBEL LIMITED</t>
  </si>
  <si>
    <t>11202400</t>
  </si>
  <si>
    <t>11202400 INTERCOMPANY DEBTORS - IPF (USD)</t>
  </si>
  <si>
    <t>11202600</t>
  </si>
  <si>
    <t>11202600 INTERCOMPANY DEBTORS - DYNO NOBEL INVESTMENT LTD</t>
  </si>
  <si>
    <t>IN15</t>
  </si>
  <si>
    <t>11800000</t>
  </si>
  <si>
    <t>11800000 INTERMERGER NON-TRADE DEBTORS</t>
  </si>
  <si>
    <t>BS_A_11330:  Sundry Debtors - Controlled Enti</t>
  </si>
  <si>
    <t xml:space="preserve">     25.2-</t>
  </si>
  <si>
    <t>156</t>
  </si>
  <si>
    <t>BS_A_11200:  Other Receivables</t>
  </si>
  <si>
    <t>154</t>
  </si>
  <si>
    <t>BS_A_11000:  Trade and Other Receivables</t>
  </si>
  <si>
    <t>157</t>
  </si>
  <si>
    <t>12300000</t>
  </si>
  <si>
    <t>12300000 CURRENT SHARES - LISTED</t>
  </si>
  <si>
    <t xml:space="preserve">      8.3-</t>
  </si>
  <si>
    <t>BS_A_12100:  Investments in Listed Shares</t>
  </si>
  <si>
    <t>160</t>
  </si>
  <si>
    <t>11200350</t>
  </si>
  <si>
    <t>11200350 SUNDRY DEBTORS - DERIVATIVE- INTEREST RATE SWAPS</t>
  </si>
  <si>
    <t>BS_A_12400:  Derivative Financial Instruments</t>
  </si>
  <si>
    <t>168</t>
  </si>
  <si>
    <t>BS_A_12000:  Other Financial Investments</t>
  </si>
  <si>
    <t xml:space="preserve">     10.1-</t>
  </si>
  <si>
    <t>166</t>
  </si>
  <si>
    <t>13100000</t>
  </si>
  <si>
    <t>13100000 CONS STORES ON HAND &amp; IN TRANSIT @ COST-TIMING</t>
  </si>
  <si>
    <t xml:space="preserve">     16.6-</t>
  </si>
  <si>
    <t>13100020</t>
  </si>
  <si>
    <t>13100020 CONS STORES ON HAND &amp; IN TRANSIT @ COST-TIMING SOH</t>
  </si>
  <si>
    <t>13100030</t>
  </si>
  <si>
    <t>13100030 CONS STORES ON HAND- VALUATION ADJUSTMENT</t>
  </si>
  <si>
    <t xml:space="preserve">      0.8</t>
  </si>
  <si>
    <t>13500000</t>
  </si>
  <si>
    <t>13500000 RETURNABLE CONTAINERS</t>
  </si>
  <si>
    <t xml:space="preserve">     20.1</t>
  </si>
  <si>
    <t>13500001</t>
  </si>
  <si>
    <t>13500001 RETURNABLE CONTAINERS - STOCK AT DEALERS</t>
  </si>
  <si>
    <t xml:space="preserve">     27.8-</t>
  </si>
  <si>
    <t>13500014</t>
  </si>
  <si>
    <t>13500014 FIBC - ACCUMULATED FIBC AMORTISATION</t>
  </si>
  <si>
    <t xml:space="preserve">      4.9-</t>
  </si>
  <si>
    <t>BS_A_13100:  Raw Materials and Stores at Cost</t>
  </si>
  <si>
    <t xml:space="preserve">      5.6-</t>
  </si>
  <si>
    <t>173</t>
  </si>
  <si>
    <t>13700000</t>
  </si>
  <si>
    <t>13700000 FINISH GOODS ON HAND (COST)</t>
  </si>
  <si>
    <t xml:space="preserve">     36.3</t>
  </si>
  <si>
    <t>13700001</t>
  </si>
  <si>
    <t>13700001 FINISH GOODS ON HAND (COST) - VALUATION ADJUSTMENT</t>
  </si>
  <si>
    <t xml:space="preserve">    204.2-</t>
  </si>
  <si>
    <t>13700003</t>
  </si>
  <si>
    <t>13700003 FINISH GOODS ON HAND (COST) - IMP STOCK VALUE ADJ</t>
  </si>
  <si>
    <t xml:space="preserve">    181.8</t>
  </si>
  <si>
    <t>13701000</t>
  </si>
  <si>
    <t>13701000 FINISH GOODS ON HAND (COST) - FCIS</t>
  </si>
  <si>
    <t>13711000</t>
  </si>
  <si>
    <t>13711000 STOCK IN TRANSIT</t>
  </si>
  <si>
    <t xml:space="preserve">     70.4-</t>
  </si>
  <si>
    <t>BS_A_13300:  Finished Goods at Cost</t>
  </si>
  <si>
    <t xml:space="preserve">     24.2</t>
  </si>
  <si>
    <t>191</t>
  </si>
  <si>
    <t>13790000</t>
  </si>
  <si>
    <t>13790000 PROV FOR STOCK LOSSES FINISH GOODS TIMING OP BAL</t>
  </si>
  <si>
    <t xml:space="preserve"> 11,178.0-</t>
  </si>
  <si>
    <t>13791000</t>
  </si>
  <si>
    <t>13791000 Prov Stock Loss Fin Gds - Increase (dr to P&amp;L)</t>
  </si>
  <si>
    <t>13791500</t>
  </si>
  <si>
    <t>13791500 PROV STOCK LOSS INCREASE- PURCHASE ORDER CONDITION</t>
  </si>
  <si>
    <t xml:space="preserve">      0.1</t>
  </si>
  <si>
    <t>13797000</t>
  </si>
  <si>
    <t>13797000 Prov Stock Loss F/G - Allow. Expenditure/Tax Pd</t>
  </si>
  <si>
    <t>BS_L_13520:  Inventory Provision - Finished G</t>
  </si>
  <si>
    <t xml:space="preserve">  1,902.4-</t>
  </si>
  <si>
    <t>175</t>
  </si>
  <si>
    <t>BS_L_13500:  Inventory Provision</t>
  </si>
  <si>
    <t>169</t>
  </si>
  <si>
    <t>BS_A_13000:  Inventories</t>
  </si>
  <si>
    <t xml:space="preserve">     11.5</t>
  </si>
  <si>
    <t>192</t>
  </si>
  <si>
    <t>14000000</t>
  </si>
  <si>
    <t>14000000 CURRENT PREPAYMENTS OTHER - TIMING</t>
  </si>
  <si>
    <t xml:space="preserve">      6.2-</t>
  </si>
  <si>
    <t>14020000</t>
  </si>
  <si>
    <t>14020000 CURRENT PREPAYMENTS INSURANCE - TIMING</t>
  </si>
  <si>
    <t xml:space="preserve">  4,913.1-</t>
  </si>
  <si>
    <t>14060000</t>
  </si>
  <si>
    <t>14060000 CURRENT PREPAYMENTS INTEREST - TIMING</t>
  </si>
  <si>
    <t xml:space="preserve">     73.6-</t>
  </si>
  <si>
    <t>14060001</t>
  </si>
  <si>
    <t>14060001 CURRENT PREPAYMENTS INTEREST-TIMING- TERM LOANS</t>
  </si>
  <si>
    <t xml:space="preserve">     73.0-</t>
  </si>
  <si>
    <t>BS_A_15110:  Prepaid - External</t>
  </si>
  <si>
    <t xml:space="preserve">     82.3-</t>
  </si>
  <si>
    <t>177</t>
  </si>
  <si>
    <t>BS_A_15100:  Other Assets - Prepayments</t>
  </si>
  <si>
    <t>195</t>
  </si>
  <si>
    <t>14100000</t>
  </si>
  <si>
    <t>14100000 CURRENT OTHER ASSETS</t>
  </si>
  <si>
    <t xml:space="preserve">     99.2-</t>
  </si>
  <si>
    <t>14250000</t>
  </si>
  <si>
    <t>14250000 Current Sundry Debtors and Loans (Employees)</t>
  </si>
  <si>
    <t>188</t>
  </si>
  <si>
    <t>BS_A_15200:  Other Assets - Other</t>
  </si>
  <si>
    <t>171</t>
  </si>
  <si>
    <t>BS_A_15000:  Other Current Assets</t>
  </si>
  <si>
    <t>178</t>
  </si>
  <si>
    <t>14910000</t>
  </si>
  <si>
    <t>14910000 LAND HELD FOR RESALE - COST</t>
  </si>
  <si>
    <t>BS_A_16100:  Land and Buildings Held for Sale</t>
  </si>
  <si>
    <t>172</t>
  </si>
  <si>
    <t>BS_A_16000:  Assets Held for Sale</t>
  </si>
  <si>
    <t>153</t>
  </si>
  <si>
    <t>BS_CURA:  Total Current Assets</t>
  </si>
  <si>
    <t xml:space="preserve">     16.8-</t>
  </si>
  <si>
    <t>207</t>
  </si>
  <si>
    <t>IN14</t>
  </si>
  <si>
    <t>15250000</t>
  </si>
  <si>
    <t>15250000 NON-CURRENT Employee Loan</t>
  </si>
  <si>
    <t>15260000</t>
  </si>
  <si>
    <t>15260000 NON-CURRENT OTHER DEBTORS - NON TIMING</t>
  </si>
  <si>
    <t xml:space="preserve">     27.0-</t>
  </si>
  <si>
    <t>15261000</t>
  </si>
  <si>
    <t>15261000 LOAN TO DISTRIBUTORS</t>
  </si>
  <si>
    <t>BS_A_17100:  Sundry Debtors - External</t>
  </si>
  <si>
    <t xml:space="preserve">      2.4</t>
  </si>
  <si>
    <t>324</t>
  </si>
  <si>
    <t>15960000</t>
  </si>
  <si>
    <t>15960000 INTERMERGER LONG TERM RECEIVABLE- AUD</t>
  </si>
  <si>
    <t>15960100</t>
  </si>
  <si>
    <t>15960100 INTERMERGER LONG TERM RECEIVABLE- USD</t>
  </si>
  <si>
    <t>15960200</t>
  </si>
  <si>
    <t>15960200 INTERMERGER LONG TERM RECEIVABLE- OTHERS</t>
  </si>
  <si>
    <t>BS_A_17310  -  Sundry drs - Contr ent - Int B</t>
  </si>
  <si>
    <t>211</t>
  </si>
  <si>
    <t>BS_A_17300:  Sundry debtors - Controlled enti</t>
  </si>
  <si>
    <t>214</t>
  </si>
  <si>
    <t>15290000</t>
  </si>
  <si>
    <t>15290000 LOAN TO DISTRS - PROVN D/DEBTS</t>
  </si>
  <si>
    <t>BS_L_17400:  Sundry Debtors - Impairment Loss</t>
  </si>
  <si>
    <t>199</t>
  </si>
  <si>
    <t>BS_A_17000:  Receivables</t>
  </si>
  <si>
    <t>329,470.3</t>
  </si>
  <si>
    <t>201</t>
  </si>
  <si>
    <t>16000030</t>
  </si>
  <si>
    <t>16000030 INVESTMENT - IPUSH</t>
  </si>
  <si>
    <t>16000031</t>
  </si>
  <si>
    <t>16000031 INVESTMENT - IPEH</t>
  </si>
  <si>
    <t>BS_A_17800:  Shares in Controlled Entities</t>
  </si>
  <si>
    <t xml:space="preserve">     15.4</t>
  </si>
  <si>
    <t>220</t>
  </si>
  <si>
    <t>17100000</t>
  </si>
  <si>
    <t>17100000 LAND FREEHOLD - COST</t>
  </si>
  <si>
    <t xml:space="preserve">      0.4-</t>
  </si>
  <si>
    <t>17110000</t>
  </si>
  <si>
    <t>17110000 LAND HELD FOR RESALE - COST</t>
  </si>
  <si>
    <t>17500000</t>
  </si>
  <si>
    <t>17500000 BUILDINGS FREEHOLD - COST</t>
  </si>
  <si>
    <t>17800000</t>
  </si>
  <si>
    <t>17800000 PLANT / EQUIPMENT - REVALUED</t>
  </si>
  <si>
    <t>17900000</t>
  </si>
  <si>
    <t>17900000 PLANT / EQUIPMENT - COST</t>
  </si>
  <si>
    <t xml:space="preserve">      3.8</t>
  </si>
  <si>
    <t>BS_A_18100:  Cost</t>
  </si>
  <si>
    <t xml:space="preserve">      2.5</t>
  </si>
  <si>
    <t>221</t>
  </si>
  <si>
    <t>17590000</t>
  </si>
  <si>
    <t>17590000 PROV FOR DEPRECIATION BUILDINGS FREEHOLD - COST</t>
  </si>
  <si>
    <t xml:space="preserve">      1.5-</t>
  </si>
  <si>
    <t>17592000</t>
  </si>
  <si>
    <t>17592000 WRITE-DOWN OF BUILDINGS</t>
  </si>
  <si>
    <t>17990000</t>
  </si>
  <si>
    <t>17990000 PROV FOR DEPRECIATION PLANT / EQUIPMENT - COST</t>
  </si>
  <si>
    <t xml:space="preserve">      3.9-</t>
  </si>
  <si>
    <t>BS_L_18200:  Accumulated depreciation</t>
  </si>
  <si>
    <t xml:space="preserve">      3.5-</t>
  </si>
  <si>
    <t>322</t>
  </si>
  <si>
    <t>14100100</t>
  </si>
  <si>
    <t>14100100 Downpayments AUC</t>
  </si>
  <si>
    <t xml:space="preserve">     13.3-</t>
  </si>
  <si>
    <t>18630000</t>
  </si>
  <si>
    <t>18630000 AUC Land &amp; Building</t>
  </si>
  <si>
    <t xml:space="preserve">     66.2</t>
  </si>
  <si>
    <t>18640000</t>
  </si>
  <si>
    <t>18640000 AUC- Other</t>
  </si>
  <si>
    <t>18650000</t>
  </si>
  <si>
    <t>18650000 AUC Plant &amp; Equipment</t>
  </si>
  <si>
    <t xml:space="preserve">     29.9-</t>
  </si>
  <si>
    <t>18660000</t>
  </si>
  <si>
    <t>18660000 PLANT UNDER CONSTRUCTION</t>
  </si>
  <si>
    <t>18660700</t>
  </si>
  <si>
    <t>18660700 CAPITAL WIP TEMPORARY CONVERSION ACCOUNT</t>
  </si>
  <si>
    <t xml:space="preserve">     10.3-</t>
  </si>
  <si>
    <t>BS_A_18310  -  F/A-Construction in Progress</t>
  </si>
  <si>
    <t xml:space="preserve">     14.5-</t>
  </si>
  <si>
    <t>222</t>
  </si>
  <si>
    <t>BS_A_18300:  Construction in progress</t>
  </si>
  <si>
    <t>203</t>
  </si>
  <si>
    <t>BS_A_18000:  Property Plant and Equipment</t>
  </si>
  <si>
    <t xml:space="preserve">      0.6-</t>
  </si>
  <si>
    <t>223</t>
  </si>
  <si>
    <t>18670000</t>
  </si>
  <si>
    <t>18670000 AUC Intangible</t>
  </si>
  <si>
    <t xml:space="preserve">     13.3</t>
  </si>
  <si>
    <t>19000000</t>
  </si>
  <si>
    <t>19000000 GOODWILL AT COST</t>
  </si>
  <si>
    <t>19200000</t>
  </si>
  <si>
    <t>19200000 TRADE MARK, KNOW HOW &amp; RIGHTS</t>
  </si>
  <si>
    <t>19400000</t>
  </si>
  <si>
    <t>19400000 SOFTWARE PURCHASED &amp; DEVELOPED - COST</t>
  </si>
  <si>
    <t xml:space="preserve">      0.6</t>
  </si>
  <si>
    <t>BS_A_19100:  Cost</t>
  </si>
  <si>
    <t>224</t>
  </si>
  <si>
    <t>19090000</t>
  </si>
  <si>
    <t>19090000 ACCUMULATED AMORTISATION GOODWILL - COST</t>
  </si>
  <si>
    <t>19490000</t>
  </si>
  <si>
    <t>19490000 PROV'N FOR AMORTISATION- SOFTWARE PURCH &amp; DEV-COST</t>
  </si>
  <si>
    <t xml:space="preserve">     11.6-</t>
  </si>
  <si>
    <t>BS_L_19200:  Accumulated amortisation</t>
  </si>
  <si>
    <t xml:space="preserve">      5.3-</t>
  </si>
  <si>
    <t>204</t>
  </si>
  <si>
    <t>BS_A_19000:  Intangible assets</t>
  </si>
  <si>
    <t>225</t>
  </si>
  <si>
    <t>19300000</t>
  </si>
  <si>
    <t>19300000 DEFERRED TAX ASSET - OPENING BAL</t>
  </si>
  <si>
    <t xml:space="preserve">     92.2-</t>
  </si>
  <si>
    <t>19301000</t>
  </si>
  <si>
    <t>19301000 DEFERRED TAX ASSET - INCREASE/(DECREASE)</t>
  </si>
  <si>
    <t>19302000</t>
  </si>
  <si>
    <t>19302000 DEFERRED TAX ASSET - DECREASE (CREDIT P&amp;L)</t>
  </si>
  <si>
    <t>BS_A_19210:  Gross Deferred Tax Assets</t>
  </si>
  <si>
    <t xml:space="preserve">     51.0-</t>
  </si>
  <si>
    <t>205</t>
  </si>
  <si>
    <t>BS_A_19200:  NCA Deferred Tax Assets</t>
  </si>
  <si>
    <t>227</t>
  </si>
  <si>
    <t>15460100</t>
  </si>
  <si>
    <t>15460100 NON-CUR PREPAYMENTS INTEREST - TERM LOAN FACILITY</t>
  </si>
  <si>
    <t xml:space="preserve"> 26,219.6</t>
  </si>
  <si>
    <t>BS_A_19510:  Other Assets - Other</t>
  </si>
  <si>
    <t>206</t>
  </si>
  <si>
    <t>BS_A_19500:  Other Assets</t>
  </si>
  <si>
    <t>198</t>
  </si>
  <si>
    <t>BS_LTA:   Total Non-Current Assets</t>
  </si>
  <si>
    <t xml:space="preserve">     28.5</t>
  </si>
  <si>
    <t>6</t>
  </si>
  <si>
    <t>BS_TOTA:  Total Assets</t>
  </si>
  <si>
    <t xml:space="preserve">     14.2</t>
  </si>
  <si>
    <t>270</t>
  </si>
  <si>
    <t>14100200</t>
  </si>
  <si>
    <t>14100200 Downpayments Clr AUC</t>
  </si>
  <si>
    <t>20000000</t>
  </si>
  <si>
    <t>20000000 TRADE CREDITORS EXT - CURRENT</t>
  </si>
  <si>
    <t>20000006</t>
  </si>
  <si>
    <t>20000006 TRD CRS - O/S LIABILITIES MTH END</t>
  </si>
  <si>
    <t xml:space="preserve">      7.9-</t>
  </si>
  <si>
    <t>20000200</t>
  </si>
  <si>
    <t>20000200 TRADE CREDITORS EXT -CURRENT -CONTRACT LABOUR</t>
  </si>
  <si>
    <t xml:space="preserve">     20.2</t>
  </si>
  <si>
    <t>20000255</t>
  </si>
  <si>
    <t>20000255 Trade Creditors Ext - Deposits On Returnable Bags</t>
  </si>
  <si>
    <t xml:space="preserve">     22.9</t>
  </si>
  <si>
    <t>20000450</t>
  </si>
  <si>
    <t>20000450 TRADE CREDITORS EXT -CURRENT -DR BAL IN CR</t>
  </si>
  <si>
    <t xml:space="preserve">     55.4-</t>
  </si>
  <si>
    <t>20000455</t>
  </si>
  <si>
    <t>20000455 TRADE CREDITORS EXT -CURRENT -CR BAL IN DR</t>
  </si>
  <si>
    <t xml:space="preserve">    329.1-</t>
  </si>
  <si>
    <t>20000920</t>
  </si>
  <si>
    <t>20000920 TRADE CREDITORS EXT -CURRENT - TRF OUT</t>
  </si>
  <si>
    <t xml:space="preserve">    286.6-</t>
  </si>
  <si>
    <t>20001200</t>
  </si>
  <si>
    <t>20001200 TRADE CREDITORS EXT -CURRENT -OTHER</t>
  </si>
  <si>
    <t xml:space="preserve">     24.9</t>
  </si>
  <si>
    <t>20003000</t>
  </si>
  <si>
    <t>20003000 TRADE CREDITORS-VAR POS ACCRUAL_Bulk Bag Repairs</t>
  </si>
  <si>
    <t xml:space="preserve">     82.2</t>
  </si>
  <si>
    <t>20003002</t>
  </si>
  <si>
    <t>20003002 TRADE CREDITORS-VAR POS ACCRUAL_Pt Kembler Oiling</t>
  </si>
  <si>
    <t xml:space="preserve">     19.4</t>
  </si>
  <si>
    <t>20003012</t>
  </si>
  <si>
    <t>20003012 TRADE CREDITORS-VAR POS ACCRUAL_Goulburn/Yass Stor</t>
  </si>
  <si>
    <t xml:space="preserve">      3.7</t>
  </si>
  <si>
    <t>20003013</t>
  </si>
  <si>
    <t>20003013 TRADE CREDITORS-VAR POS ACCRUAL_Forbes storage</t>
  </si>
  <si>
    <t xml:space="preserve">    222.5-</t>
  </si>
  <si>
    <t>20003014</t>
  </si>
  <si>
    <t>20003014 TRADE CREDITORS-VAR POS ACCRUAL_Tolls KI FinGds St</t>
  </si>
  <si>
    <t>20003016</t>
  </si>
  <si>
    <t>20003016 TRADE CREDITORS-VAR POS ACCRUAL_ABB Storage  VCPOS</t>
  </si>
  <si>
    <t xml:space="preserve"> 36,015.7-</t>
  </si>
  <si>
    <t>20003017</t>
  </si>
  <si>
    <t>20003017 TRADE CREDITORS-VAR POS ACCRUAL_EASY N STORAGE</t>
  </si>
  <si>
    <t>IN12</t>
  </si>
  <si>
    <t>20900800</t>
  </si>
  <si>
    <t>20900800 Intramerger Trade Creditors (non-system)</t>
  </si>
  <si>
    <t>BS_L_21210:  Accounts Payable - External</t>
  </si>
  <si>
    <t xml:space="preserve">     36.1</t>
  </si>
  <si>
    <t>271</t>
  </si>
  <si>
    <t>20000600</t>
  </si>
  <si>
    <t>20000600 TRADE CREDITORS EXT -CURRENT -FREIGHT CLEARING</t>
  </si>
  <si>
    <t xml:space="preserve">  1,269.3-</t>
  </si>
  <si>
    <t>20000602</t>
  </si>
  <si>
    <t>20000602 TRADE CREDITORS EXT -CURRENT -FREIGHT CLR P/O COND</t>
  </si>
  <si>
    <t>20000900</t>
  </si>
  <si>
    <t>20000900 TRADE CREDITORS EXT -CURRENT-GRIR</t>
  </si>
  <si>
    <t xml:space="preserve">     75.2</t>
  </si>
  <si>
    <t>20004005</t>
  </si>
  <si>
    <t>20004005 LAND FREIGHT ON SALES - COS ACCRUAL</t>
  </si>
  <si>
    <t>20004010</t>
  </si>
  <si>
    <t>20004010 Exporting Costs - COS Accrual</t>
  </si>
  <si>
    <t xml:space="preserve">     65.1</t>
  </si>
  <si>
    <t>20008001</t>
  </si>
  <si>
    <t>20008001 SHIPPING PRODUCT GR/IR</t>
  </si>
  <si>
    <t xml:space="preserve">     43.6</t>
  </si>
  <si>
    <t>20008002</t>
  </si>
  <si>
    <t>20008002 SHIPPING FREIGHT GR/IR</t>
  </si>
  <si>
    <t xml:space="preserve">     78.7</t>
  </si>
  <si>
    <t>20008003</t>
  </si>
  <si>
    <t>20008003 PORT CHARGES GR/IR</t>
  </si>
  <si>
    <t xml:space="preserve">     57.7</t>
  </si>
  <si>
    <t>20008006</t>
  </si>
  <si>
    <t>20008006 WORKS COSTS SHIPS ACCRUAL</t>
  </si>
  <si>
    <t xml:space="preserve">     12.4</t>
  </si>
  <si>
    <t>20008007</t>
  </si>
  <si>
    <t>20008007 PORT LOAD CHARGES GR/IR</t>
  </si>
  <si>
    <t xml:space="preserve">     43.5</t>
  </si>
  <si>
    <t>20008008</t>
  </si>
  <si>
    <t>20008008 INSURANCE SHIPPING ACCRUAL</t>
  </si>
  <si>
    <t>20008009</t>
  </si>
  <si>
    <t>20008009 SHIPPING LANDING COSTS GR/IR</t>
  </si>
  <si>
    <t xml:space="preserve">     37.8</t>
  </si>
  <si>
    <t>BS_L_21215:  Goods Receipted Not Yet Invoiced</t>
  </si>
  <si>
    <t xml:space="preserve">     59.1</t>
  </si>
  <si>
    <t>272</t>
  </si>
  <si>
    <t>20000022</t>
  </si>
  <si>
    <t>20000022 Debtors Rebates  Accrual</t>
  </si>
  <si>
    <t xml:space="preserve">     93.8</t>
  </si>
  <si>
    <t>20000062</t>
  </si>
  <si>
    <t>20000062 Market Support Accrual</t>
  </si>
  <si>
    <t xml:space="preserve">     51.8</t>
  </si>
  <si>
    <t>20000064</t>
  </si>
  <si>
    <t>20000064 Flat $@Tonne Rebate/Tolling Fee</t>
  </si>
  <si>
    <t xml:space="preserve">    453.2-</t>
  </si>
  <si>
    <t>20000066</t>
  </si>
  <si>
    <t>20000066 Promotions Accrual</t>
  </si>
  <si>
    <t xml:space="preserve">      1.7-</t>
  </si>
  <si>
    <t>20000067</t>
  </si>
  <si>
    <t>20000067 Service Payments Accrual</t>
  </si>
  <si>
    <t xml:space="preserve">     63.6</t>
  </si>
  <si>
    <t>20000071</t>
  </si>
  <si>
    <t>20000071 Annual Rebate Accrual</t>
  </si>
  <si>
    <t xml:space="preserve">     73.8</t>
  </si>
  <si>
    <t>20000072</t>
  </si>
  <si>
    <t>20000072 Corporate Services Fee Accrual</t>
  </si>
  <si>
    <t xml:space="preserve">      6.7-</t>
  </si>
  <si>
    <t>20000073</t>
  </si>
  <si>
    <t>20000073 DFF Payable</t>
  </si>
  <si>
    <t xml:space="preserve">    227.2-</t>
  </si>
  <si>
    <t>20000074</t>
  </si>
  <si>
    <t>20000074 Shed Fees Payable</t>
  </si>
  <si>
    <t xml:space="preserve">     26.7</t>
  </si>
  <si>
    <t>20000075</t>
  </si>
  <si>
    <t>20000075 Handling Fees Payable</t>
  </si>
  <si>
    <t xml:space="preserve">    101.4-</t>
  </si>
  <si>
    <t>20000081</t>
  </si>
  <si>
    <t>20000081 Trade Business Rebate Accrual</t>
  </si>
  <si>
    <t xml:space="preserve">      6.4</t>
  </si>
  <si>
    <t>20000083</t>
  </si>
  <si>
    <t>20000083 Primary Business Ptnr Accrl: Oct - Sep Reward</t>
  </si>
  <si>
    <t xml:space="preserve">     77.5</t>
  </si>
  <si>
    <t>20000084</t>
  </si>
  <si>
    <t>20000084 Value/Value+ Bus Ptnr Accrl: Mar - Feb Reward</t>
  </si>
  <si>
    <t>20000085</t>
  </si>
  <si>
    <t>20000085 Value/Value+ Bus Ptnr Accrl: Oct - Sep Reward Year</t>
  </si>
  <si>
    <t xml:space="preserve">     40.6</t>
  </si>
  <si>
    <t>20000086</t>
  </si>
  <si>
    <t>20000086 Trade Creditor - Agent Mark Up Accrual</t>
  </si>
  <si>
    <t xml:space="preserve">     35.2</t>
  </si>
  <si>
    <t>20000100</t>
  </si>
  <si>
    <t>20000100 TRD CRS - Sundry Trade Accruals- Corporate</t>
  </si>
  <si>
    <t>20000400</t>
  </si>
  <si>
    <t>20000400 TRADE CREDITORS EXT -CURRENT -ELECTRICITY ACCR</t>
  </si>
  <si>
    <t xml:space="preserve">     16.7-</t>
  </si>
  <si>
    <t>20000401</t>
  </si>
  <si>
    <t>20000401 TRADE CREDITORS EXT -CURRENT -WATER ACCR</t>
  </si>
  <si>
    <t xml:space="preserve">     18.6</t>
  </si>
  <si>
    <t>20000402</t>
  </si>
  <si>
    <t>20000402 TRADE CREDITORS EXT -CURRENT -NATURAL GAS ACCR</t>
  </si>
  <si>
    <t>20000411</t>
  </si>
  <si>
    <t>20000411 TRD CRS - ROYALTY DEMIN RESIN ACCRUALS</t>
  </si>
  <si>
    <t xml:space="preserve">     63.4</t>
  </si>
  <si>
    <t>20009900</t>
  </si>
  <si>
    <t>20009900 TRADE CREDITORS- INTERGROUP</t>
  </si>
  <si>
    <t>BS_L_21220:  Accrued Liabilities - External</t>
  </si>
  <si>
    <t xml:space="preserve">     61.5</t>
  </si>
  <si>
    <t>249</t>
  </si>
  <si>
    <t>BS_L_21200:  Trade Creditors - External</t>
  </si>
  <si>
    <t xml:space="preserve">     42.9</t>
  </si>
  <si>
    <t>254</t>
  </si>
  <si>
    <t>20900000</t>
  </si>
  <si>
    <t>20900000 TRADE CREDITORS -INTERMERGER SUB IPL AUST-SYST</t>
  </si>
  <si>
    <t xml:space="preserve">     89.1-</t>
  </si>
  <si>
    <t>20900001</t>
  </si>
  <si>
    <t>20900001 TRADE CREDITORS -INTERMERGER MANUAL ADJMTS</t>
  </si>
  <si>
    <t>20970000</t>
  </si>
  <si>
    <t>20970000 INTERGROUP SUBS IPL</t>
  </si>
  <si>
    <t>BS_L_21500:  Trade Creditors - Controlled</t>
  </si>
  <si>
    <t>236</t>
  </si>
  <si>
    <t>BS_L_21100:  Trade Payables</t>
  </si>
  <si>
    <t>273</t>
  </si>
  <si>
    <t>20160050</t>
  </si>
  <si>
    <t>20160050 GST PAYABLE ON PREPAYMENTS</t>
  </si>
  <si>
    <t>20160300</t>
  </si>
  <si>
    <t>20160300 INDIRECT TAXES - GST INPUT TAX</t>
  </si>
  <si>
    <t xml:space="preserve">  4,268.8</t>
  </si>
  <si>
    <t>20160400</t>
  </si>
  <si>
    <t>20160400 INDIRECT TAX PAYABLE - GST OUTPUT TAX</t>
  </si>
  <si>
    <t>20161000</t>
  </si>
  <si>
    <t>20161000 GST PAYMENT CLEARING</t>
  </si>
  <si>
    <t xml:space="preserve">     40.2-</t>
  </si>
  <si>
    <t>BS_L_21620:  Net GST Payable</t>
  </si>
  <si>
    <t xml:space="preserve">     40.8-</t>
  </si>
  <si>
    <t>274</t>
  </si>
  <si>
    <t>20160600</t>
  </si>
  <si>
    <t>20160600 INDIRECT &amp; OTHER TAX PAY-CURRENT-WORKCOVER</t>
  </si>
  <si>
    <t xml:space="preserve">     59.4-</t>
  </si>
  <si>
    <t>20160900</t>
  </si>
  <si>
    <t>20160900 INDIRECT &amp; OTHER TAX PAY-CURRENT-LAND TAX</t>
  </si>
  <si>
    <t>20210000</t>
  </si>
  <si>
    <t>20210000 SDRY CRDTORS &amp; ACCR CHGES- CUR NT</t>
  </si>
  <si>
    <t xml:space="preserve">    149.1-</t>
  </si>
  <si>
    <t>20210001</t>
  </si>
  <si>
    <t>20210001 SDRY CRS &amp; ACCR CHGES-CUR UNFAV CONTRACTS</t>
  </si>
  <si>
    <t xml:space="preserve">     13.8</t>
  </si>
  <si>
    <t>20210260</t>
  </si>
  <si>
    <t>20210260 SDRY CRS &amp; ACCR CHGES-CUR NT CLEARING ACC -SWAPOUT</t>
  </si>
  <si>
    <t xml:space="preserve">    494.3</t>
  </si>
  <si>
    <t>20210270</t>
  </si>
  <si>
    <t>20210270 DEFERRED MARGIN NH3 SWAPS</t>
  </si>
  <si>
    <t>20213002</t>
  </si>
  <si>
    <t>20213002 HR/PY DEDUCTIONS - THIRD PARTY</t>
  </si>
  <si>
    <t xml:space="preserve">     53.3-</t>
  </si>
  <si>
    <t>20213004</t>
  </si>
  <si>
    <t>20213004 SUNDRY CRS - PAYROLL CLRG SALARY &amp; WAGES (SAP HR)</t>
  </si>
  <si>
    <t xml:space="preserve">    103.9-</t>
  </si>
  <si>
    <t>20213005</t>
  </si>
  <si>
    <t>20213005 HR-PY Off - Cycle payments Clearing</t>
  </si>
  <si>
    <t xml:space="preserve">    392.0</t>
  </si>
  <si>
    <t>20213007</t>
  </si>
  <si>
    <t>20213007 NOVATED LEASE DEDUCTIONS</t>
  </si>
  <si>
    <t>20213010</t>
  </si>
  <si>
    <t>20213010 HR/PY INTERNATIONAL CLEARING</t>
  </si>
  <si>
    <t xml:space="preserve">    620.4-</t>
  </si>
  <si>
    <t>20213100</t>
  </si>
  <si>
    <t>20213100 ESOP Loans</t>
  </si>
  <si>
    <t xml:space="preserve">     38.0-</t>
  </si>
  <si>
    <t>20219900</t>
  </si>
  <si>
    <t>20219900 NON-TRADE CREDITORS- INTERGROUP</t>
  </si>
  <si>
    <t>BS_L_21630:  External Liabilities Suppliers</t>
  </si>
  <si>
    <t xml:space="preserve">    366.5-</t>
  </si>
  <si>
    <t>276</t>
  </si>
  <si>
    <t>20160500</t>
  </si>
  <si>
    <t>20160500 INDIRECT &amp; OTHER TAX PAY-CURRENT-PAYROLL TAX</t>
  </si>
  <si>
    <t xml:space="preserve"> 13,261.2-</t>
  </si>
  <si>
    <t>20160800</t>
  </si>
  <si>
    <t>20160800 INDIRECT TAX PAYABLE - FRINGE BENEFIT TAX (FBT)</t>
  </si>
  <si>
    <t xml:space="preserve">     16.3</t>
  </si>
  <si>
    <t>BS_L_21650:  Payroll Taxes Withheld</t>
  </si>
  <si>
    <t xml:space="preserve">     70.9-</t>
  </si>
  <si>
    <t>250</t>
  </si>
  <si>
    <t>BS_L_21610:  Sundry Creditors - External -Oth</t>
  </si>
  <si>
    <t xml:space="preserve">    286.3-</t>
  </si>
  <si>
    <t>259</t>
  </si>
  <si>
    <t>20240000</t>
  </si>
  <si>
    <t>20240000 EXT INT PAY &amp; ACCR FINANCE CHARGES</t>
  </si>
  <si>
    <t>BS_L_21700:  Sundry Creditors - External - In</t>
  </si>
  <si>
    <t>261</t>
  </si>
  <si>
    <t>20210200</t>
  </si>
  <si>
    <t>20210200 SDRY CRS &amp; ACCR CHGES-CUR NT CLEARING ACC</t>
  </si>
  <si>
    <t>20212100</t>
  </si>
  <si>
    <t>20212100 **INTERCOMPANY NON-TRADE CREDITORS - IIAF (USD)</t>
  </si>
  <si>
    <t>20212200</t>
  </si>
  <si>
    <t>20212200 **INTERCOMPANY NON-TRADE CREDITORS - IIAF (AUD)</t>
  </si>
  <si>
    <t>21800300</t>
  </si>
  <si>
    <t>21800300 LOANS S/T INTERMERGER - COLTIVI</t>
  </si>
  <si>
    <t>BS_L_21800:  Sundry Creditors - Controlled</t>
  </si>
  <si>
    <t>244</t>
  </si>
  <si>
    <t>BS_L_21600:  Other Payables</t>
  </si>
  <si>
    <t xml:space="preserve">     23.5</t>
  </si>
  <si>
    <t>231</t>
  </si>
  <si>
    <t>BS_L_21000:  Trade and Other Payables</t>
  </si>
  <si>
    <t xml:space="preserve">     38.1</t>
  </si>
  <si>
    <t>252</t>
  </si>
  <si>
    <t>21720000</t>
  </si>
  <si>
    <t>21720000 LOANS S/T EXTERNAL -BANKS</t>
  </si>
  <si>
    <t xml:space="preserve">      9.4</t>
  </si>
  <si>
    <t>BS_L_22110:  Trade Loans</t>
  </si>
  <si>
    <t>237</t>
  </si>
  <si>
    <t>BS_L_22100:  Secured Liabilities</t>
  </si>
  <si>
    <t>232</t>
  </si>
  <si>
    <t>BS_L_22000:  Borrowings - Interest Bearing</t>
  </si>
  <si>
    <t>239</t>
  </si>
  <si>
    <t>20210300</t>
  </si>
  <si>
    <t>20210300 CURR DERIVATIVE LIABILITIES- FORWARD COMMODITYCONT</t>
  </si>
  <si>
    <t>BS_L_23100:  Forward Commodity contracts</t>
  </si>
  <si>
    <t>233</t>
  </si>
  <si>
    <t>BS_L_23000:  Other Financial Liabilities</t>
  </si>
  <si>
    <t>245</t>
  </si>
  <si>
    <t>22000000</t>
  </si>
  <si>
    <t>22000000 PROV FOR INCOME TAX -CURRENT -OP BAL</t>
  </si>
  <si>
    <t xml:space="preserve">    456.8-</t>
  </si>
  <si>
    <t>22001000</t>
  </si>
  <si>
    <t>22001000 PROVISION FOR INCOME TAX - DECREASE/(INCREASE)</t>
  </si>
  <si>
    <t xml:space="preserve">    101.5</t>
  </si>
  <si>
    <t>22002000</t>
  </si>
  <si>
    <t>22002000 PROVISION FOR INCOME TAX - DECREASE (CREDIT P&amp;L)</t>
  </si>
  <si>
    <t>22007000</t>
  </si>
  <si>
    <t>22007000 PROVISION FOR INCOME TAX - TAX PAID</t>
  </si>
  <si>
    <t xml:space="preserve">     16.2-</t>
  </si>
  <si>
    <t>22009000</t>
  </si>
  <si>
    <t>22009000 PROV FOR INCOME TAX -CURRENT -WHT</t>
  </si>
  <si>
    <t xml:space="preserve">     43.6-</t>
  </si>
  <si>
    <t>BS_L_24100:  Income and Capital Taxes Payable</t>
  </si>
  <si>
    <t xml:space="preserve">     28.6</t>
  </si>
  <si>
    <t>234</t>
  </si>
  <si>
    <t>BS_L_24000:  Current Tax Liabilities</t>
  </si>
  <si>
    <t>247</t>
  </si>
  <si>
    <t>22200000</t>
  </si>
  <si>
    <t>22200000 PROV FOR ANNUAL &amp; LONG SERVICE LEAVE -OP BAL</t>
  </si>
  <si>
    <t xml:space="preserve">     11.7-</t>
  </si>
  <si>
    <t>22201000</t>
  </si>
  <si>
    <t>22201000 PROVISION FOR ANNUAL LEAVE - INCREASE NET MNTHY MV</t>
  </si>
  <si>
    <t xml:space="preserve">    121.3</t>
  </si>
  <si>
    <t>22202000</t>
  </si>
  <si>
    <t>22202000 Curr Prov - Annual &amp; Long Serv. Leave - Decrease</t>
  </si>
  <si>
    <t>22300000</t>
  </si>
  <si>
    <t>22300000 PROVISION FOR LSL - Timing - Current</t>
  </si>
  <si>
    <t>22301000</t>
  </si>
  <si>
    <t>22301000 PROVISION LSL LIABILITIES WAGES - INCR.NET MNTH MV</t>
  </si>
  <si>
    <t xml:space="preserve">  1,555.6-</t>
  </si>
  <si>
    <t>22302000</t>
  </si>
  <si>
    <t>22302000 PROVISION LSL LIABILITIES WAGES - DECR.NET MNTH MV</t>
  </si>
  <si>
    <t>22307000</t>
  </si>
  <si>
    <t>22307000 PROVISION FOR LONG SERVICE LEAVE - PAID</t>
  </si>
  <si>
    <t xml:space="preserve">      2.9-</t>
  </si>
  <si>
    <t>22310000</t>
  </si>
  <si>
    <t>22310000 PROV FOR RETIRING ALLOW &amp;REDUNDANCY-TIMING-CURRENT</t>
  </si>
  <si>
    <t xml:space="preserve">     81.7</t>
  </si>
  <si>
    <t>22311000</t>
  </si>
  <si>
    <t>22311000 Prov for Retiring Allow &amp; Redund - Increase</t>
  </si>
  <si>
    <t>22313000</t>
  </si>
  <si>
    <t>22313000 Prov for Retiring Allow &amp; Redund - Tfrs in/out</t>
  </si>
  <si>
    <t>22317000</t>
  </si>
  <si>
    <t>22317000 PROV RETIRING ALLOWANCE&amp;REDUNDANCY-ALLOW.PAYMENTS</t>
  </si>
  <si>
    <t xml:space="preserve">     42.0-</t>
  </si>
  <si>
    <t>22330000</t>
  </si>
  <si>
    <t>22330000 PROV FOR RESTRUCTURING-TIMING-CURR- Opening Bal</t>
  </si>
  <si>
    <t xml:space="preserve">     67.7</t>
  </si>
  <si>
    <t>22331000</t>
  </si>
  <si>
    <t>22331000 PROV FOR RESTRUCTURING- Increase</t>
  </si>
  <si>
    <t>22332000</t>
  </si>
  <si>
    <t>22332000 PROV FOR RESTRUCTURING- Decrease</t>
  </si>
  <si>
    <t>22333000</t>
  </si>
  <si>
    <t>22333000 PROV FOR RESTRUCTURING- Transfers</t>
  </si>
  <si>
    <t>22337000</t>
  </si>
  <si>
    <t>22337000 PROV FOR RESTRUCTURING- Paid</t>
  </si>
  <si>
    <t xml:space="preserve">     97.8-</t>
  </si>
  <si>
    <t>22340000</t>
  </si>
  <si>
    <t>22340000 PROV FOR DEMOLITION- Opening Balance</t>
  </si>
  <si>
    <t xml:space="preserve">     27.3-</t>
  </si>
  <si>
    <t>22341000</t>
  </si>
  <si>
    <t>22341000 PROV FOR DEMOLITION- Increase</t>
  </si>
  <si>
    <t>22343000</t>
  </si>
  <si>
    <t>22343000 PROV FOR DEMOLITION- Transfers</t>
  </si>
  <si>
    <t xml:space="preserve">    675.2</t>
  </si>
  <si>
    <t>22347000</t>
  </si>
  <si>
    <t>22347000 PROV FOR DEMOLITION- Paid</t>
  </si>
  <si>
    <t xml:space="preserve">     94.1-</t>
  </si>
  <si>
    <t>22370000</t>
  </si>
  <si>
    <t>22370000 PROVISION FOR OTHERS</t>
  </si>
  <si>
    <t>22371000</t>
  </si>
  <si>
    <t>22371000 PROVISION FOR OTHERS - Increase</t>
  </si>
  <si>
    <t xml:space="preserve">     94.6</t>
  </si>
  <si>
    <t>22372000</t>
  </si>
  <si>
    <t>22372000 PROVISION FOR OTHERS - Decrease</t>
  </si>
  <si>
    <t>22377000</t>
  </si>
  <si>
    <t>22377000 PROVISION FOR OTHER PAYMENTS</t>
  </si>
  <si>
    <t xml:space="preserve">  2,651.9</t>
  </si>
  <si>
    <t>22480000</t>
  </si>
  <si>
    <t>22480000 PROV FOR ENVIRONMENTAL EXP TIMING CURRENT OP BAL</t>
  </si>
  <si>
    <t xml:space="preserve">     45.6-</t>
  </si>
  <si>
    <t>22481000</t>
  </si>
  <si>
    <t>22481000 Prov Environmental Expenditure - Increase</t>
  </si>
  <si>
    <t>22482000</t>
  </si>
  <si>
    <t>22482000 Prov Environmental Expenditure - Decrease</t>
  </si>
  <si>
    <t xml:space="preserve">     13.6-</t>
  </si>
  <si>
    <t>22483000</t>
  </si>
  <si>
    <t>22483000 Prov Environmental Expenditure - Transfers in/out</t>
  </si>
  <si>
    <t xml:space="preserve">    215.3</t>
  </si>
  <si>
    <t>22487000</t>
  </si>
  <si>
    <t>22487000 Prov Environmental Expend. - allow. exp./tax paid</t>
  </si>
  <si>
    <t xml:space="preserve">     48.5-</t>
  </si>
  <si>
    <t>BS_L_25100:  Provisions</t>
  </si>
  <si>
    <t>235</t>
  </si>
  <si>
    <t>BS_L_25000:  Provisions</t>
  </si>
  <si>
    <t>229</t>
  </si>
  <si>
    <t>BS_CURL:  Total Current Liabilities</t>
  </si>
  <si>
    <t xml:space="preserve">     33.4</t>
  </si>
  <si>
    <t>315</t>
  </si>
  <si>
    <t>24400000</t>
  </si>
  <si>
    <t>24400000 LOANS L/T EXTERNAL -INTERMERGER- AUD</t>
  </si>
  <si>
    <t>24400100</t>
  </si>
  <si>
    <t>24400100 L/T INTERCOMPANY LOANS - USD</t>
  </si>
  <si>
    <t>BS_L_26510:  Sundry Cr's - Contr - Int Bearin</t>
  </si>
  <si>
    <t>303</t>
  </si>
  <si>
    <t>BS_L_26500:  Sundry Cr's - Controlled</t>
  </si>
  <si>
    <t>304</t>
  </si>
  <si>
    <t>23210000</t>
  </si>
  <si>
    <t>23210000 SDRY CRDTORS &amp; ACCR CHGES- NON CUR UNFAV CONTRACTS</t>
  </si>
  <si>
    <t>BS_L_26600:  Sundry Cr's - Unfav Contracts</t>
  </si>
  <si>
    <t>292</t>
  </si>
  <si>
    <t>BS_L_26000:  Others</t>
  </si>
  <si>
    <t>320</t>
  </si>
  <si>
    <t>IN17</t>
  </si>
  <si>
    <t>24000000</t>
  </si>
  <si>
    <t>24000000 LOANS L/T EXTERNAL -BANKS</t>
  </si>
  <si>
    <t>BS_L_27260:  Syndicated Facility</t>
  </si>
  <si>
    <t>308</t>
  </si>
  <si>
    <t>BS_L_27200:  Unsecured Liabilities</t>
  </si>
  <si>
    <t>293</t>
  </si>
  <si>
    <t>BS_L_27000:  Borrowings</t>
  </si>
  <si>
    <t>306</t>
  </si>
  <si>
    <t>26000000</t>
  </si>
  <si>
    <t>26000000 PROV FOR DEFERRED TAX LIABILITY (DTL) - OP BAL</t>
  </si>
  <si>
    <t xml:space="preserve">    109.2</t>
  </si>
  <si>
    <t>26001000</t>
  </si>
  <si>
    <t>26001000 PROV FOR DEFERRED TAX LIABILITY (DTL) - INCREASE</t>
  </si>
  <si>
    <t xml:space="preserve">     94.5-</t>
  </si>
  <si>
    <t>26009900</t>
  </si>
  <si>
    <t>26009900 PROV FOR DEFERRED INCOME TAX (PDIT)- INTERGROUP</t>
  </si>
  <si>
    <t>BS_L_27310:  Gross Deferred Tax Liabilities</t>
  </si>
  <si>
    <t>294</t>
  </si>
  <si>
    <t>BS_L_27300:  Deferred Tax Liabilities</t>
  </si>
  <si>
    <t>309</t>
  </si>
  <si>
    <t>23270000</t>
  </si>
  <si>
    <t>23270000 SUPERANNUATION FUND DEFICIT ACCRUAL - TIMING- N/C</t>
  </si>
  <si>
    <t xml:space="preserve">    348.2-</t>
  </si>
  <si>
    <t>BS_L_27410:  A/L-Pension Costs(FAS 87)</t>
  </si>
  <si>
    <t>295</t>
  </si>
  <si>
    <t>BS_L_27400:  Retirement benefit obligation</t>
  </si>
  <si>
    <t>296</t>
  </si>
  <si>
    <t>25300000</t>
  </si>
  <si>
    <t>25300000 PROV FOR LSL -TIMING -NON CURRENT -OP BAL</t>
  </si>
  <si>
    <t>25301000</t>
  </si>
  <si>
    <t>25301000 Prov LSL - Timing - Non current Increase (dr P&amp;L)</t>
  </si>
  <si>
    <t xml:space="preserve">     41.2</t>
  </si>
  <si>
    <t>25302000</t>
  </si>
  <si>
    <t>25302000 Prov LSL - Timing - Non current Decrease (cr P&amp;L)</t>
  </si>
  <si>
    <t>25330000</t>
  </si>
  <si>
    <t>25330000 Non Current- Prov- Retiring allowance &amp; Redundancy</t>
  </si>
  <si>
    <t>25333000</t>
  </si>
  <si>
    <t>25333000 Non Current- Prov- Retiring allowance &amp; Redun- TRF</t>
  </si>
  <si>
    <t>25334000</t>
  </si>
  <si>
    <t>25334000 Non Current- Prov- Retiring allowance &amp; Redun- Unw</t>
  </si>
  <si>
    <t xml:space="preserve">    259.3-</t>
  </si>
  <si>
    <t>25340000</t>
  </si>
  <si>
    <t>25340000 NON CURRENT- PROV- DEMOLITION- Opening Bal</t>
  </si>
  <si>
    <t>25343000</t>
  </si>
  <si>
    <t>25343000 NON CURRENT- PROV- DEMOLITION- Transfers</t>
  </si>
  <si>
    <t>25344000</t>
  </si>
  <si>
    <t>25344000 NON CURRENT- PROV- DEMOLITION- Unwinding</t>
  </si>
  <si>
    <t xml:space="preserve">    329.3-</t>
  </si>
  <si>
    <t>25370000</t>
  </si>
  <si>
    <t>25370000 NON CURRENT PROVISION FOR OTHERS</t>
  </si>
  <si>
    <t>25371000</t>
  </si>
  <si>
    <t>25371000 NON CURRENT PROVISION FOR OTHERS - Increase</t>
  </si>
  <si>
    <t>25374000</t>
  </si>
  <si>
    <t>25374000 NON CURRENT PROVISION FOR OTHERS - Unwinding</t>
  </si>
  <si>
    <t>25530000</t>
  </si>
  <si>
    <t>25530000 Prov Environmental Expenditure - Opening Balance</t>
  </si>
  <si>
    <t xml:space="preserve">     48.6</t>
  </si>
  <si>
    <t>25531000</t>
  </si>
  <si>
    <t>25531000 Prov Environmental Expenditure - Increase</t>
  </si>
  <si>
    <t>25532000</t>
  </si>
  <si>
    <t>25532000 Prov Environmental Expenditure - Decrease N/C</t>
  </si>
  <si>
    <t xml:space="preserve">     95.4-</t>
  </si>
  <si>
    <t>25533000</t>
  </si>
  <si>
    <t>25533000 Prov Environmental Expenditure - Transfers in/out</t>
  </si>
  <si>
    <t xml:space="preserve">    219.7-</t>
  </si>
  <si>
    <t>25534000</t>
  </si>
  <si>
    <t>25534000 Prov Environmental Expenditure - Unwinding</t>
  </si>
  <si>
    <t xml:space="preserve">     85.4-</t>
  </si>
  <si>
    <t>BS_L_28000:  Provisions</t>
  </si>
  <si>
    <t xml:space="preserve">     20.6-</t>
  </si>
  <si>
    <t>230</t>
  </si>
  <si>
    <t>BS_LTL:   Total Non-Current Liabilities</t>
  </si>
  <si>
    <t xml:space="preserve">     69.5-</t>
  </si>
  <si>
    <t>5</t>
  </si>
  <si>
    <t>BS_TOTL:  Total Liabilities</t>
  </si>
  <si>
    <t>151</t>
  </si>
  <si>
    <t>BS_NETA:  NET ASSETS</t>
  </si>
  <si>
    <t xml:space="preserve">     26.2</t>
  </si>
  <si>
    <t>281</t>
  </si>
  <si>
    <t>27150000</t>
  </si>
  <si>
    <t>27150000 ISSUED ORDINARY SHARE CAPITAL- OP BAL</t>
  </si>
  <si>
    <t>27152000</t>
  </si>
  <si>
    <t>27152000 ISSUED ORDINARY SHARE CAPITAL - DECREASE</t>
  </si>
  <si>
    <t>BS_L_29100:  Equity-Share Capital</t>
  </si>
  <si>
    <t>282</t>
  </si>
  <si>
    <t>27151000</t>
  </si>
  <si>
    <t>27151000 ISSUED ORDINARY SHARE CAPITAL - INCREASE</t>
  </si>
  <si>
    <t>27151500</t>
  </si>
  <si>
    <t>27151500 ISSUED ORDINARY SHARE CAPITAL - SHARES ISSUED</t>
  </si>
  <si>
    <t>BS_L_29150:  Equity-Add'l Paid-in Capital</t>
  </si>
  <si>
    <t>278</t>
  </si>
  <si>
    <t>BS_L_29000:  Issued Capital</t>
  </si>
  <si>
    <t xml:space="preserve">     40.3-</t>
  </si>
  <si>
    <t>286</t>
  </si>
  <si>
    <t>28500002</t>
  </si>
  <si>
    <t>28500002 GENERAL RESERVE - ACF</t>
  </si>
  <si>
    <t xml:space="preserve">    148.0-</t>
  </si>
  <si>
    <t>BS_L_29500:  Cash Flow Hedging Reserve</t>
  </si>
  <si>
    <t>287</t>
  </si>
  <si>
    <t>28600000</t>
  </si>
  <si>
    <t>28600000 SHARE BASED PAYMENT RESERVES- OPENING BALANCE</t>
  </si>
  <si>
    <t xml:space="preserve">     35.1</t>
  </si>
  <si>
    <t>28601000</t>
  </si>
  <si>
    <t>28601000 SHARE BASED PAYMENT RESERVES- INCREASE</t>
  </si>
  <si>
    <t xml:space="preserve">    247.8-</t>
  </si>
  <si>
    <t>BS_L_29600:  Sharebased Payments Reserve</t>
  </si>
  <si>
    <t>290</t>
  </si>
  <si>
    <t>28532520</t>
  </si>
  <si>
    <t>28532520 FCTR- REVAL I/C LOANS</t>
  </si>
  <si>
    <t>BS_L_29155:  FCTR on intercompany loans</t>
  </si>
  <si>
    <t>288</t>
  </si>
  <si>
    <t>BS_L_29700:  Equity-Currency Translation</t>
  </si>
  <si>
    <t>291</t>
  </si>
  <si>
    <t>28100000</t>
  </si>
  <si>
    <t>28100000 FAIR VALUE RESERVE- AVAILABLE FOR SALE- OP BAL</t>
  </si>
  <si>
    <t xml:space="preserve">     45.9</t>
  </si>
  <si>
    <t>28101000</t>
  </si>
  <si>
    <t>28101000 FAIR VALUE RESERVE- AVAILABLE FOR SALE- INCREASE</t>
  </si>
  <si>
    <t xml:space="preserve">     92.2</t>
  </si>
  <si>
    <t>28102000</t>
  </si>
  <si>
    <t>28102000 FAIR VALUE RESERVE- AVAILABLE FOR SALE- DECREASE</t>
  </si>
  <si>
    <t xml:space="preserve">     91.8-</t>
  </si>
  <si>
    <t>BS_L_29800:  Fair Value Reserve</t>
  </si>
  <si>
    <t xml:space="preserve">     10.0</t>
  </si>
  <si>
    <t>283</t>
  </si>
  <si>
    <t>BS_L_29200:  Reserves</t>
  </si>
  <si>
    <t xml:space="preserve">    347.1-</t>
  </si>
  <si>
    <t>326</t>
  </si>
  <si>
    <t>28850000</t>
  </si>
  <si>
    <t>28850000 PROFIT AND LOSS APPROPRIATION -OP BAL- INTERGROUP</t>
  </si>
  <si>
    <t xml:space="preserve">    252.4-</t>
  </si>
  <si>
    <t>28852500</t>
  </si>
  <si>
    <t>28852500 PROFIT/LOSS - Movement in Retained Earnings Other</t>
  </si>
  <si>
    <t>28855500</t>
  </si>
  <si>
    <t>28855500 PROFIT AND LOSS APPROPRIATION -CASH DIV EXTERNAL</t>
  </si>
  <si>
    <t xml:space="preserve">      8.2</t>
  </si>
  <si>
    <t>BS_L_29900:  Retained Earnings/Accumulated Lo</t>
  </si>
  <si>
    <t xml:space="preserve">    529.9-</t>
  </si>
  <si>
    <t>279</t>
  </si>
  <si>
    <t>BS_SHE:   TOTAL EQUITY</t>
  </si>
  <si>
    <t>280</t>
  </si>
  <si>
    <t>BS_Balance Sheet</t>
  </si>
  <si>
    <t>4</t>
  </si>
  <si>
    <t>Current Year Profit</t>
  </si>
  <si>
    <t xml:space="preserve">     26.2-</t>
  </si>
  <si>
    <t>2</t>
  </si>
  <si>
    <t>327</t>
  </si>
  <si>
    <t>P&amp;L Result</t>
  </si>
  <si>
    <t>Non current assets less DTA, less financial instruments</t>
  </si>
  <si>
    <t>DNAP NCA's at 31/3/09 in USD</t>
  </si>
  <si>
    <t>DNAP NCA's at 30/9/08 in USD</t>
  </si>
  <si>
    <t>DNAP NCA's at 31/3/09 in AUD</t>
  </si>
  <si>
    <t>DNAP NCA's at 30/9/08 in AUD</t>
  </si>
  <si>
    <t>DNA NCA's at 31/3/09 in USD</t>
  </si>
  <si>
    <t>DNA NCA's at 30/9/08 in USD</t>
  </si>
  <si>
    <t>DNA NCA's at 31/3/09 in AUD</t>
  </si>
  <si>
    <t>DNA NCA's at 30/9/08 in AUD</t>
  </si>
  <si>
    <t>A64200</t>
  </si>
  <si>
    <t>Shares in Controlled</t>
  </si>
  <si>
    <t>DN CORP NCA's at 31/3/09 in USD</t>
  </si>
  <si>
    <t>DN CORP NCA's at 30/9/08 in USD</t>
  </si>
  <si>
    <t>DN CORP NCA's at 31/3/09 in AUD</t>
  </si>
  <si>
    <t>DN CORP NCA's at 30/9/08 in AUD</t>
  </si>
  <si>
    <t>NPAT pre Individually Material Items</t>
  </si>
  <si>
    <t>Individually Material Items Before Tax</t>
  </si>
  <si>
    <t>NPAT &amp; Individually Material Items</t>
  </si>
  <si>
    <t>Fertilisers Eliminations</t>
  </si>
  <si>
    <t>CYTD Sep09</t>
  </si>
  <si>
    <t>Spare</t>
  </si>
  <si>
    <t>Central</t>
  </si>
  <si>
    <t>Overheads</t>
  </si>
  <si>
    <t>Supply Chain</t>
  </si>
  <si>
    <t>PDC</t>
  </si>
  <si>
    <t>Pink</t>
  </si>
  <si>
    <t>Group Elimination</t>
  </si>
  <si>
    <t>Environmental and site clean up</t>
  </si>
  <si>
    <t xml:space="preserve">Capital Expenditure (Accruals Basis) </t>
  </si>
  <si>
    <t>TWC movement (excluding FX impact)</t>
  </si>
  <si>
    <t xml:space="preserve">     Quantum - open sales</t>
  </si>
  <si>
    <t>Proceeds from asset sales</t>
  </si>
  <si>
    <t>North Americas</t>
  </si>
  <si>
    <t>Tax effect of Individually Material Items</t>
  </si>
  <si>
    <t>BUSINESS SEG EBITDA (excluding IMIs)</t>
  </si>
  <si>
    <t>Corporate / Group Elimination</t>
  </si>
  <si>
    <t xml:space="preserve">Total EBITDA (excluding IMIs) - IPL Group  </t>
  </si>
  <si>
    <t>BUSINESS SEG EBIT (excluding IMIs)</t>
  </si>
  <si>
    <t>Dividends received from joint ventures and associates</t>
  </si>
  <si>
    <t xml:space="preserve">Total EBIT (excluding IMIs) - IPL Group  </t>
  </si>
  <si>
    <t>Total Asia Pacific</t>
  </si>
  <si>
    <t>Group Eliminations</t>
  </si>
  <si>
    <t>Other non-TWC</t>
  </si>
  <si>
    <t>(Increase)/decrease in net debt</t>
  </si>
  <si>
    <t>Dividends paid to members of Incitec Pivot Limited</t>
  </si>
  <si>
    <t>Dividends paid to non-controlling interest holder</t>
  </si>
  <si>
    <t>Net Other Liabilities</t>
  </si>
  <si>
    <t>Payment for buy-back of shares</t>
  </si>
  <si>
    <t>Purchase of IPL shares for employees</t>
  </si>
  <si>
    <t>Profit from joint ventures and associates</t>
  </si>
  <si>
    <t>Waggaman</t>
  </si>
  <si>
    <t>Ag &amp; IC</t>
  </si>
  <si>
    <t>Total US$ Depreciation and Amortisation - Americas - DNA</t>
  </si>
  <si>
    <t>Americas - DNA US$ Depreciation &amp; Amortisation</t>
  </si>
  <si>
    <t>Americas - DNA US$ EBITDA (excluding IMIs)</t>
  </si>
  <si>
    <t>Total US$ EBITDA (excluding IMIs) - Americas - DNA</t>
  </si>
  <si>
    <t>Americas - DNA US$ EBIT (excluding IMIs)</t>
  </si>
  <si>
    <t>Total US$ EBIT (excluding IMIs) - Americas - DNA</t>
  </si>
  <si>
    <t>Americas - DNA</t>
  </si>
  <si>
    <t>AU$ mill</t>
  </si>
  <si>
    <t>US$ mill</t>
  </si>
  <si>
    <t>Group EBITDA ex IMIs</t>
  </si>
  <si>
    <t>Tax Expense - Individually Material Items</t>
  </si>
  <si>
    <t>Net income tax paid</t>
  </si>
  <si>
    <t>Income Tax (Expense)/ Benefit</t>
  </si>
  <si>
    <t>Lease liability payments</t>
  </si>
  <si>
    <t>Property, Plant &amp; Equipment</t>
  </si>
  <si>
    <t>Lease right-of-use assets</t>
  </si>
  <si>
    <t>Lease liabilities</t>
  </si>
  <si>
    <t>Manufacturing</t>
  </si>
  <si>
    <t>Distribution</t>
  </si>
  <si>
    <t>Total Fertilisers</t>
  </si>
  <si>
    <t xml:space="preserve"> - Domestic Ag</t>
  </si>
  <si>
    <t xml:space="preserve"> - Industrial and Trading</t>
  </si>
  <si>
    <t xml:space="preserve"> - Phosphate Hill</t>
  </si>
  <si>
    <t xml:space="preserve"> - Gibson Island</t>
  </si>
  <si>
    <t xml:space="preserve"> - Geelong</t>
  </si>
  <si>
    <t>Proceeds on issue of shares</t>
  </si>
  <si>
    <t>VOLUMES SOLD ('000 tonnes)</t>
  </si>
  <si>
    <t xml:space="preserve">             </t>
  </si>
  <si>
    <t>FERTILISERS ASIA PACIFIC</t>
  </si>
  <si>
    <t>Non-cash movements in Net Debt and realised market value movements on derivatives</t>
  </si>
  <si>
    <t>Quantum (third party sales)</t>
  </si>
  <si>
    <t>Corporate / Elimination</t>
  </si>
  <si>
    <t>ROIC (including Goodwill)</t>
  </si>
  <si>
    <t>ROIC (excluding Goodwill)</t>
  </si>
  <si>
    <t>Net Assets classified as held for sale</t>
  </si>
  <si>
    <t>Discontinued Operations</t>
  </si>
  <si>
    <t>Total Sales - IPL Group</t>
  </si>
  <si>
    <t>Total Sales - Continuing Operations</t>
  </si>
  <si>
    <t>Total EBITDA (excluding IMIs) - Continuing Operations</t>
  </si>
  <si>
    <t>Total Depreciation and Amortisation - Continuing Operations</t>
  </si>
  <si>
    <t>Total EBIT (excluding IMIs) - Continuing Operations</t>
  </si>
  <si>
    <t>Total - Continuing Operations</t>
  </si>
  <si>
    <t>USA</t>
  </si>
  <si>
    <t>Discontinued Operations (USA)</t>
  </si>
  <si>
    <t>Sustenance, strategic, sustainability and lease buy-outs</t>
  </si>
  <si>
    <t>Total - IPL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</si>
</sst>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);\(#,##0.0\);&quot; -  &quot;"/>
    <numFmt numFmtId="167" formatCode="#,##0.0"/>
    <numFmt numFmtId="168" formatCode="#,##0_);\(#,##0\)"/>
    <numFmt numFmtId="169" formatCode="mmmm\-yy"/>
    <numFmt numFmtId="170" formatCode="dd\ mmmm"/>
    <numFmt numFmtId="171" formatCode="0.0%"/>
    <numFmt numFmtId="172" formatCode="_(* #,##0.0_);_(* \(#,##0.0\);_(* &quot;-&quot;??_);_(@_)"/>
    <numFmt numFmtId="173" formatCode="#,##0.0\ ;\(#,##0.0\)"/>
    <numFmt numFmtId="174" formatCode="mmm\-yy_)"/>
    <numFmt numFmtId="175" formatCode="_-* #,##0.0_-;\-* #,##0.0_-;_-* &quot;-&quot;??_-;_-@_-"/>
    <numFmt numFmtId="176" formatCode="_-* #,##0_-;\-* #,##0_-;_-* &quot;-&quot;??_-;_-@_-"/>
    <numFmt numFmtId="177" formatCode="0.0"/>
    <numFmt numFmtId="178" formatCode="#,##0.0;\(#,##0.0\)"/>
    <numFmt numFmtId="179" formatCode="_(* #,##0_);_(* \(#,##0\);_(* &quot;-&quot;??_);_(@_)"/>
    <numFmt numFmtId="180" formatCode="mmmm_yyyyy"/>
    <numFmt numFmtId="181" formatCode="#,##0.0;[Red]\(#,##0.0\)"/>
    <numFmt numFmtId="182" formatCode="_-* #,##0.00000_-;\-* #,##0.00000_-;_-* &quot;-&quot;??_-;_-@_-"/>
    <numFmt numFmtId="183" formatCode="0.00000000000"/>
    <numFmt numFmtId="184" formatCode="#,##0\ ;\(#,##0\)"/>
    <numFmt numFmtId="185" formatCode="#,##0.00\ &quot;USD&quot;"/>
    <numFmt numFmtId="186" formatCode="#,##0%;\(#,##0%\)"/>
    <numFmt numFmtId="187" formatCode="#,##0.0;\(#,##0.0\);\-"/>
  </numFmts>
  <fonts count="78" x14ac:knownFonts="1">
    <font>
      <sz val="10"/>
      <name val="Arial"/>
    </font>
    <font>
      <sz val="10"/>
      <name val="Arial"/>
      <family val="2"/>
    </font>
    <font>
      <sz val="8"/>
      <name val="Helvetica"/>
      <family val="2"/>
    </font>
    <font>
      <b/>
      <sz val="8"/>
      <name val="Helv"/>
    </font>
    <font>
      <b/>
      <sz val="8"/>
      <name val="Helvetica"/>
      <family val="2"/>
    </font>
    <font>
      <sz val="7"/>
      <name val="Helv"/>
    </font>
    <font>
      <sz val="12"/>
      <name val="Arial"/>
      <family val="2"/>
    </font>
    <font>
      <b/>
      <sz val="11"/>
      <name val="Helvetica"/>
      <family val="2"/>
    </font>
    <font>
      <sz val="8.5"/>
      <name val="Helvetica"/>
      <family val="2"/>
    </font>
    <font>
      <b/>
      <sz val="8.5"/>
      <name val="Helvetica"/>
      <family val="2"/>
    </font>
    <font>
      <sz val="8.5"/>
      <name val="Helvetica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.5"/>
      <name val="Helvetica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i/>
      <sz val="8"/>
      <name val="Arial"/>
      <family val="2"/>
    </font>
    <font>
      <b/>
      <i/>
      <sz val="8"/>
      <color indexed="11"/>
      <name val="Arial"/>
      <family val="2"/>
    </font>
    <font>
      <b/>
      <i/>
      <sz val="8"/>
      <color indexed="10"/>
      <name val="Arial"/>
      <family val="2"/>
    </font>
    <font>
      <sz val="8.5"/>
      <color rgb="FFFF0000"/>
      <name val="Helvetica"/>
      <family val="2"/>
    </font>
    <font>
      <b/>
      <i/>
      <sz val="8.5"/>
      <name val="Helvetica"/>
      <family val="2"/>
    </font>
    <font>
      <b/>
      <i/>
      <sz val="10"/>
      <name val="Arial"/>
      <family val="2"/>
    </font>
    <font>
      <sz val="8.5"/>
      <color theme="1"/>
      <name val="Helvetica"/>
      <family val="2"/>
    </font>
    <font>
      <b/>
      <sz val="8.5"/>
      <color theme="1"/>
      <name val="Helvetica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.5"/>
      <name val="Arial"/>
      <family val="2"/>
    </font>
    <font>
      <sz val="10"/>
      <color indexed="9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b/>
      <sz val="11.5"/>
      <name val="Arial"/>
      <family val="2"/>
    </font>
    <font>
      <b/>
      <sz val="12"/>
      <color indexed="10"/>
      <name val="Arial"/>
      <family val="2"/>
    </font>
    <font>
      <sz val="16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sz val="11"/>
      <color indexed="9"/>
      <name val="Arial"/>
      <family val="2"/>
    </font>
    <font>
      <sz val="10"/>
      <color theme="1"/>
      <name val="Arial Narrow"/>
      <family val="2"/>
    </font>
    <font>
      <b/>
      <i/>
      <sz val="8.5"/>
      <name val="Helvetica"/>
    </font>
    <font>
      <sz val="8.5"/>
      <name val="Helvetica"/>
    </font>
    <font>
      <i/>
      <sz val="8.5"/>
      <name val="Helvetica"/>
    </font>
    <font>
      <i/>
      <sz val="10"/>
      <name val="Arial"/>
      <family val="2"/>
    </font>
    <font>
      <b/>
      <sz val="8.5"/>
      <name val="Helvetica"/>
    </font>
    <font>
      <b/>
      <sz val="8"/>
      <name val="Helvetica"/>
    </font>
  </fonts>
  <fills count="7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16">
    <xf numFmtId="0" fontId="0" fillId="0" borderId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22" borderId="0" applyNumberFormat="0" applyBorder="0" applyAlignment="0" applyProtection="0"/>
    <xf numFmtId="0" fontId="19" fillId="14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9" fillId="27" borderId="0" applyNumberFormat="0" applyBorder="0" applyAlignment="0" applyProtection="0"/>
    <xf numFmtId="166" fontId="2" fillId="0" borderId="0" applyNumberFormat="0" applyFill="0" applyBorder="0" applyProtection="0">
      <alignment vertical="center" wrapText="1"/>
      <protection locked="0"/>
    </xf>
    <xf numFmtId="165" fontId="2" fillId="0" borderId="0" applyNumberFormat="0" applyFill="0" applyBorder="0">
      <protection locked="0"/>
    </xf>
    <xf numFmtId="167" fontId="2" fillId="0" borderId="0" applyNumberFormat="0" applyFill="0" applyProtection="0">
      <alignment vertical="center"/>
      <protection locked="0"/>
    </xf>
    <xf numFmtId="167" fontId="2" fillId="0" borderId="1" applyNumberFormat="0" applyFill="0" applyProtection="0">
      <alignment vertical="center"/>
      <protection locked="0"/>
    </xf>
    <xf numFmtId="0" fontId="2" fillId="0" borderId="0" applyNumberFormat="0" applyFill="0" applyBorder="0" applyProtection="0">
      <alignment vertical="top" wrapText="1"/>
      <protection locked="0"/>
    </xf>
    <xf numFmtId="166" fontId="3" fillId="0" borderId="2" applyNumberFormat="0" applyFont="0" applyFill="0" applyAlignment="0" applyProtection="0">
      <alignment horizontal="right" vertical="center"/>
      <protection locked="0"/>
    </xf>
    <xf numFmtId="166" fontId="4" fillId="0" borderId="2" applyNumberFormat="0" applyFill="0" applyAlignment="0" applyProtection="0">
      <alignment horizontal="right" vertical="center"/>
      <protection locked="0"/>
    </xf>
    <xf numFmtId="166" fontId="2" fillId="0" borderId="3" applyNumberFormat="0" applyFill="0" applyAlignment="0">
      <alignment vertical="center"/>
      <protection locked="0"/>
    </xf>
    <xf numFmtId="166" fontId="2" fillId="0" borderId="4" applyNumberFormat="0" applyFill="0" applyAlignment="0">
      <alignment vertical="center"/>
      <protection locked="0"/>
    </xf>
    <xf numFmtId="166" fontId="2" fillId="0" borderId="5" applyNumberFormat="0" applyFill="0" applyAlignment="0" applyProtection="0">
      <alignment vertical="center"/>
      <protection locked="0"/>
    </xf>
    <xf numFmtId="0" fontId="30" fillId="32" borderId="6" applyNumberFormat="0" applyAlignment="0" applyProtection="0"/>
    <xf numFmtId="0" fontId="20" fillId="23" borderId="7" applyNumberFormat="0" applyAlignment="0" applyProtection="0"/>
    <xf numFmtId="164" fontId="1" fillId="0" borderId="0" applyFont="0" applyFill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165" fontId="5" fillId="0" borderId="0" applyNumberFormat="0" applyFill="0" applyBorder="0" applyProtection="0">
      <alignment horizontal="left" vertical="center" wrapText="1"/>
      <protection locked="0"/>
    </xf>
    <xf numFmtId="0" fontId="18" fillId="19" borderId="0" applyNumberFormat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28" borderId="6" applyNumberFormat="0" applyAlignment="0" applyProtection="0"/>
    <xf numFmtId="0" fontId="21" fillId="0" borderId="11" applyNumberFormat="0" applyFill="0" applyAlignment="0" applyProtection="0"/>
    <xf numFmtId="0" fontId="21" fillId="28" borderId="0" applyNumberFormat="0" applyBorder="0" applyAlignment="0" applyProtection="0"/>
    <xf numFmtId="0" fontId="11" fillId="37" borderId="0"/>
    <xf numFmtId="0" fontId="38" fillId="37" borderId="0"/>
    <xf numFmtId="0" fontId="39" fillId="37" borderId="0"/>
    <xf numFmtId="0" fontId="40" fillId="37" borderId="0"/>
    <xf numFmtId="0" fontId="13" fillId="0" borderId="0"/>
    <xf numFmtId="165" fontId="6" fillId="0" borderId="0"/>
    <xf numFmtId="0" fontId="6" fillId="0" borderId="0">
      <protection locked="0"/>
    </xf>
    <xf numFmtId="0" fontId="11" fillId="27" borderId="6" applyNumberFormat="0" applyFont="0" applyAlignment="0" applyProtection="0"/>
    <xf numFmtId="0" fontId="38" fillId="27" borderId="6" applyNumberFormat="0" applyFont="0" applyAlignment="0" applyProtection="0"/>
    <xf numFmtId="0" fontId="39" fillId="27" borderId="6" applyNumberFormat="0" applyFont="0" applyAlignment="0" applyProtection="0"/>
    <xf numFmtId="0" fontId="40" fillId="27" borderId="6" applyNumberFormat="0" applyFont="0" applyAlignment="0" applyProtection="0"/>
    <xf numFmtId="0" fontId="22" fillId="32" borderId="12" applyNumberFormat="0" applyAlignment="0" applyProtection="0"/>
    <xf numFmtId="9" fontId="1" fillId="0" borderId="0" applyFont="0" applyFill="0" applyBorder="0" applyAlignment="0" applyProtection="0"/>
    <xf numFmtId="4" fontId="16" fillId="36" borderId="6" applyNumberFormat="0" applyProtection="0">
      <alignment vertical="center"/>
    </xf>
    <xf numFmtId="4" fontId="11" fillId="36" borderId="6" applyNumberFormat="0" applyProtection="0">
      <alignment vertical="center"/>
    </xf>
    <xf numFmtId="4" fontId="37" fillId="39" borderId="6" applyNumberFormat="0" applyProtection="0">
      <alignment vertical="center"/>
    </xf>
    <xf numFmtId="4" fontId="16" fillId="39" borderId="6" applyNumberFormat="0" applyProtection="0">
      <alignment horizontal="left" vertical="center" indent="1"/>
    </xf>
    <xf numFmtId="4" fontId="11" fillId="39" borderId="6" applyNumberFormat="0" applyProtection="0">
      <alignment horizontal="left" vertical="center" indent="1"/>
    </xf>
    <xf numFmtId="0" fontId="26" fillId="36" borderId="13" applyNumberFormat="0" applyProtection="0">
      <alignment horizontal="left" vertical="top" indent="1"/>
    </xf>
    <xf numFmtId="4" fontId="16" fillId="6" borderId="6" applyNumberFormat="0" applyProtection="0">
      <alignment horizontal="left" vertical="center" indent="1"/>
    </xf>
    <xf numFmtId="4" fontId="11" fillId="6" borderId="6" applyNumberFormat="0" applyProtection="0">
      <alignment horizontal="left" vertical="center" indent="1"/>
    </xf>
    <xf numFmtId="4" fontId="11" fillId="2" borderId="6" applyNumberFormat="0" applyProtection="0">
      <alignment horizontal="right" vertical="center"/>
    </xf>
    <xf numFmtId="4" fontId="11" fillId="40" borderId="6" applyNumberFormat="0" applyProtection="0">
      <alignment horizontal="right" vertical="center"/>
    </xf>
    <xf numFmtId="4" fontId="11" fillId="12" borderId="14" applyNumberFormat="0" applyProtection="0">
      <alignment horizontal="right" vertical="center"/>
    </xf>
    <xf numFmtId="4" fontId="11" fillId="5" borderId="6" applyNumberFormat="0" applyProtection="0">
      <alignment horizontal="right" vertical="center"/>
    </xf>
    <xf numFmtId="4" fontId="11" fillId="7" borderId="6" applyNumberFormat="0" applyProtection="0">
      <alignment horizontal="right" vertical="center"/>
    </xf>
    <xf numFmtId="4" fontId="11" fillId="26" borderId="6" applyNumberFormat="0" applyProtection="0">
      <alignment horizontal="right" vertical="center"/>
    </xf>
    <xf numFmtId="4" fontId="11" fillId="17" borderId="6" applyNumberFormat="0" applyProtection="0">
      <alignment horizontal="right" vertical="center"/>
    </xf>
    <xf numFmtId="4" fontId="11" fillId="41" borderId="6" applyNumberFormat="0" applyProtection="0">
      <alignment horizontal="right" vertical="center"/>
    </xf>
    <xf numFmtId="4" fontId="11" fillId="4" borderId="6" applyNumberFormat="0" applyProtection="0">
      <alignment horizontal="right" vertical="center"/>
    </xf>
    <xf numFmtId="4" fontId="11" fillId="42" borderId="14" applyNumberFormat="0" applyProtection="0">
      <alignment horizontal="left" vertical="center" indent="1"/>
    </xf>
    <xf numFmtId="4" fontId="13" fillId="43" borderId="14" applyNumberFormat="0" applyProtection="0">
      <alignment horizontal="left" vertical="center" indent="1"/>
    </xf>
    <xf numFmtId="4" fontId="13" fillId="43" borderId="14" applyNumberFormat="0" applyProtection="0">
      <alignment horizontal="left" vertical="center" indent="1"/>
    </xf>
    <xf numFmtId="4" fontId="11" fillId="44" borderId="6" applyNumberFormat="0" applyProtection="0">
      <alignment horizontal="right" vertical="center"/>
    </xf>
    <xf numFmtId="4" fontId="11" fillId="45" borderId="14" applyNumberFormat="0" applyProtection="0">
      <alignment horizontal="left" vertical="center" indent="1"/>
    </xf>
    <xf numFmtId="4" fontId="11" fillId="44" borderId="14" applyNumberFormat="0" applyProtection="0">
      <alignment horizontal="left" vertical="center" indent="1"/>
    </xf>
    <xf numFmtId="0" fontId="16" fillId="31" borderId="6" applyNumberFormat="0" applyProtection="0">
      <alignment horizontal="left" vertical="center" indent="1"/>
    </xf>
    <xf numFmtId="0" fontId="11" fillId="31" borderId="6" applyNumberFormat="0" applyProtection="0">
      <alignment horizontal="left" vertical="center" indent="1"/>
    </xf>
    <xf numFmtId="0" fontId="11" fillId="43" borderId="13" applyNumberFormat="0" applyProtection="0">
      <alignment horizontal="left" vertical="top" indent="1"/>
    </xf>
    <xf numFmtId="0" fontId="38" fillId="43" borderId="13" applyNumberFormat="0" applyProtection="0">
      <alignment horizontal="left" vertical="top" indent="1"/>
    </xf>
    <xf numFmtId="0" fontId="39" fillId="43" borderId="13" applyNumberFormat="0" applyProtection="0">
      <alignment horizontal="left" vertical="top" indent="1"/>
    </xf>
    <xf numFmtId="0" fontId="40" fillId="43" borderId="13" applyNumberFormat="0" applyProtection="0">
      <alignment horizontal="left" vertical="top" indent="1"/>
    </xf>
    <xf numFmtId="0" fontId="16" fillId="46" borderId="6" applyNumberFormat="0" applyProtection="0">
      <alignment horizontal="left" vertical="center" indent="1"/>
    </xf>
    <xf numFmtId="0" fontId="11" fillId="46" borderId="6" applyNumberFormat="0" applyProtection="0">
      <alignment horizontal="left" vertical="center" indent="1"/>
    </xf>
    <xf numFmtId="0" fontId="11" fillId="44" borderId="13" applyNumberFormat="0" applyProtection="0">
      <alignment horizontal="left" vertical="top" indent="1"/>
    </xf>
    <xf numFmtId="0" fontId="38" fillId="44" borderId="13" applyNumberFormat="0" applyProtection="0">
      <alignment horizontal="left" vertical="top" indent="1"/>
    </xf>
    <xf numFmtId="0" fontId="39" fillId="44" borderId="13" applyNumberFormat="0" applyProtection="0">
      <alignment horizontal="left" vertical="top" indent="1"/>
    </xf>
    <xf numFmtId="0" fontId="40" fillId="44" borderId="13" applyNumberFormat="0" applyProtection="0">
      <alignment horizontal="left" vertical="top" indent="1"/>
    </xf>
    <xf numFmtId="0" fontId="1" fillId="47" borderId="12" applyNumberFormat="0" applyProtection="0">
      <alignment horizontal="left" vertical="center" indent="1"/>
    </xf>
    <xf numFmtId="0" fontId="11" fillId="3" borderId="6" applyNumberFormat="0" applyProtection="0">
      <alignment horizontal="left" vertical="center" indent="1"/>
    </xf>
    <xf numFmtId="0" fontId="11" fillId="3" borderId="13" applyNumberFormat="0" applyProtection="0">
      <alignment horizontal="left" vertical="top" indent="1"/>
    </xf>
    <xf numFmtId="0" fontId="38" fillId="3" borderId="13" applyNumberFormat="0" applyProtection="0">
      <alignment horizontal="left" vertical="top" indent="1"/>
    </xf>
    <xf numFmtId="0" fontId="39" fillId="3" borderId="13" applyNumberFormat="0" applyProtection="0">
      <alignment horizontal="left" vertical="top" indent="1"/>
    </xf>
    <xf numFmtId="0" fontId="40" fillId="3" borderId="13" applyNumberFormat="0" applyProtection="0">
      <alignment horizontal="left" vertical="top" indent="1"/>
    </xf>
    <xf numFmtId="0" fontId="1" fillId="48" borderId="12" applyNumberFormat="0" applyProtection="0">
      <alignment horizontal="left" vertical="center" indent="1"/>
    </xf>
    <xf numFmtId="0" fontId="11" fillId="45" borderId="6" applyNumberFormat="0" applyProtection="0">
      <alignment horizontal="left" vertical="center" indent="1"/>
    </xf>
    <xf numFmtId="0" fontId="11" fillId="45" borderId="13" applyNumberFormat="0" applyProtection="0">
      <alignment horizontal="left" vertical="top" indent="1"/>
    </xf>
    <xf numFmtId="0" fontId="38" fillId="45" borderId="13" applyNumberFormat="0" applyProtection="0">
      <alignment horizontal="left" vertical="top" indent="1"/>
    </xf>
    <xf numFmtId="0" fontId="39" fillId="45" borderId="13" applyNumberFormat="0" applyProtection="0">
      <alignment horizontal="left" vertical="top" indent="1"/>
    </xf>
    <xf numFmtId="0" fontId="40" fillId="45" borderId="13" applyNumberFormat="0" applyProtection="0">
      <alignment horizontal="left" vertical="top" indent="1"/>
    </xf>
    <xf numFmtId="0" fontId="11" fillId="49" borderId="15" applyNumberFormat="0">
      <protection locked="0"/>
    </xf>
    <xf numFmtId="0" fontId="38" fillId="49" borderId="15" applyNumberFormat="0">
      <protection locked="0"/>
    </xf>
    <xf numFmtId="0" fontId="39" fillId="49" borderId="15" applyNumberFormat="0">
      <protection locked="0"/>
    </xf>
    <xf numFmtId="0" fontId="40" fillId="49" borderId="15" applyNumberFormat="0">
      <protection locked="0"/>
    </xf>
    <xf numFmtId="0" fontId="15" fillId="43" borderId="16" applyBorder="0"/>
    <xf numFmtId="4" fontId="17" fillId="38" borderId="13" applyNumberFormat="0" applyProtection="0">
      <alignment vertical="center"/>
    </xf>
    <xf numFmtId="4" fontId="37" fillId="50" borderId="17" applyNumberFormat="0" applyProtection="0">
      <alignment vertical="center"/>
    </xf>
    <xf numFmtId="4" fontId="17" fillId="31" borderId="13" applyNumberFormat="0" applyProtection="0">
      <alignment horizontal="left" vertical="center" indent="1"/>
    </xf>
    <xf numFmtId="0" fontId="17" fillId="38" borderId="13" applyNumberFormat="0" applyProtection="0">
      <alignment horizontal="left" vertical="top" indent="1"/>
    </xf>
    <xf numFmtId="4" fontId="16" fillId="0" borderId="6" applyNumberFormat="0" applyProtection="0">
      <alignment horizontal="right" vertical="center"/>
    </xf>
    <xf numFmtId="4" fontId="11" fillId="0" borderId="6" applyNumberFormat="0" applyProtection="0">
      <alignment horizontal="right" vertical="center"/>
    </xf>
    <xf numFmtId="4" fontId="37" fillId="51" borderId="6" applyNumberFormat="0" applyProtection="0">
      <alignment horizontal="right" vertical="center"/>
    </xf>
    <xf numFmtId="4" fontId="16" fillId="6" borderId="6" applyNumberFormat="0" applyProtection="0">
      <alignment horizontal="left" vertical="center" indent="1"/>
    </xf>
    <xf numFmtId="4" fontId="11" fillId="6" borderId="6" applyNumberFormat="0" applyProtection="0">
      <alignment horizontal="left" vertical="center" indent="1"/>
    </xf>
    <xf numFmtId="0" fontId="17" fillId="44" borderId="13" applyNumberFormat="0" applyProtection="0">
      <alignment horizontal="left" vertical="top" indent="1"/>
    </xf>
    <xf numFmtId="4" fontId="27" fillId="52" borderId="14" applyNumberFormat="0" applyProtection="0">
      <alignment horizontal="left" vertical="center" indent="1"/>
    </xf>
    <xf numFmtId="0" fontId="11" fillId="53" borderId="17"/>
    <xf numFmtId="4" fontId="28" fillId="49" borderId="6" applyNumberFormat="0" applyProtection="0">
      <alignment horizontal="right" vertical="center"/>
    </xf>
    <xf numFmtId="0" fontId="35" fillId="0" borderId="0" applyNumberFormat="0" applyFill="0" applyBorder="0" applyAlignment="0" applyProtection="0"/>
    <xf numFmtId="165" fontId="7" fillId="0" borderId="0" applyNumberFormat="0" applyFill="0" applyBorder="0" applyProtection="0">
      <alignment vertical="center" wrapText="1"/>
      <protection locked="0"/>
    </xf>
    <xf numFmtId="0" fontId="2" fillId="0" borderId="0" applyNumberFormat="0" applyFill="0" applyProtection="0">
      <alignment horizontal="right" vertical="center" wrapText="1"/>
    </xf>
    <xf numFmtId="165" fontId="2" fillId="0" borderId="18" applyNumberFormat="0" applyFill="0" applyProtection="0">
      <alignment horizontal="right" vertical="center"/>
      <protection locked="0"/>
    </xf>
    <xf numFmtId="0" fontId="2" fillId="0" borderId="0" applyNumberFormat="0" applyFill="0" applyBorder="0" applyProtection="0">
      <alignment vertical="top" wrapText="1"/>
      <protection locked="0"/>
    </xf>
    <xf numFmtId="0" fontId="2" fillId="0" borderId="18" applyNumberFormat="0" applyFill="0" applyProtection="0">
      <alignment horizontal="right" vertical="top" wrapText="1"/>
      <protection locked="0"/>
    </xf>
    <xf numFmtId="165" fontId="2" fillId="0" borderId="0" applyNumberFormat="0" applyFill="0" applyProtection="0">
      <alignment vertical="center"/>
      <protection locked="0"/>
    </xf>
    <xf numFmtId="0" fontId="2" fillId="0" borderId="0" applyNumberFormat="0" applyFill="0" applyBorder="0" applyProtection="0">
      <alignment wrapText="1"/>
      <protection locked="0"/>
    </xf>
    <xf numFmtId="166" fontId="2" fillId="0" borderId="19" applyNumberFormat="0" applyFill="0" applyProtection="0">
      <alignment vertical="center"/>
      <protection locked="0"/>
    </xf>
    <xf numFmtId="165" fontId="2" fillId="0" borderId="19" applyNumberFormat="0" applyFill="0" applyProtection="0">
      <alignment wrapText="1"/>
      <protection locked="0"/>
    </xf>
    <xf numFmtId="0" fontId="2" fillId="0" borderId="18" applyNumberFormat="0" applyFill="0" applyProtection="0">
      <alignment vertical="center"/>
    </xf>
    <xf numFmtId="165" fontId="2" fillId="0" borderId="18" applyNumberFormat="0" applyFill="0" applyProtection="0">
      <alignment wrapText="1"/>
      <protection locked="0"/>
    </xf>
    <xf numFmtId="0" fontId="2" fillId="0" borderId="0" applyNumberFormat="0" applyFill="0" applyBorder="0" applyProtection="0">
      <alignment vertical="center" wrapText="1"/>
      <protection locked="0"/>
    </xf>
    <xf numFmtId="0" fontId="23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" fillId="0" borderId="0"/>
    <xf numFmtId="164" fontId="1" fillId="0" borderId="0" applyFont="0" applyFill="0" applyBorder="0" applyAlignment="0" applyProtection="0"/>
    <xf numFmtId="0" fontId="18" fillId="0" borderId="0"/>
    <xf numFmtId="0" fontId="19" fillId="11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1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4" fontId="1" fillId="43" borderId="14" applyNumberFormat="0" applyProtection="0">
      <alignment horizontal="left" vertical="center" indent="1"/>
    </xf>
    <xf numFmtId="4" fontId="1" fillId="43" borderId="14" applyNumberFormat="0" applyProtection="0">
      <alignment horizontal="left" vertical="center" indent="1"/>
    </xf>
    <xf numFmtId="0" fontId="1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2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2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</cellStyleXfs>
  <cellXfs count="720">
    <xf numFmtId="0" fontId="0" fillId="0" borderId="0" xfId="0"/>
    <xf numFmtId="165" fontId="8" fillId="0" borderId="0" xfId="167" applyNumberFormat="1" applyFont="1">
      <alignment horizontal="right" vertical="center" wrapText="1"/>
    </xf>
    <xf numFmtId="165" fontId="9" fillId="0" borderId="0" xfId="167" applyNumberFormat="1" applyFont="1" applyAlignment="1">
      <alignment horizontal="right" vertical="center"/>
    </xf>
    <xf numFmtId="169" fontId="8" fillId="0" borderId="0" xfId="167" applyNumberFormat="1" applyFont="1">
      <alignment horizontal="right" vertical="center" wrapText="1"/>
    </xf>
    <xf numFmtId="0" fontId="9" fillId="0" borderId="0" xfId="167" applyFont="1" applyAlignment="1">
      <alignment horizontal="right" vertical="center"/>
    </xf>
    <xf numFmtId="165" fontId="8" fillId="0" borderId="18" xfId="168" applyFont="1" applyProtection="1">
      <alignment horizontal="right" vertical="center"/>
    </xf>
    <xf numFmtId="0" fontId="8" fillId="0" borderId="0" xfId="167" applyFont="1" applyAlignment="1">
      <alignment horizontal="right" vertical="center"/>
    </xf>
    <xf numFmtId="168" fontId="8" fillId="0" borderId="0" xfId="171" applyNumberFormat="1" applyFont="1" applyAlignment="1" applyProtection="1">
      <alignment horizontal="left" vertical="center"/>
    </xf>
    <xf numFmtId="165" fontId="8" fillId="0" borderId="0" xfId="167" applyNumberFormat="1" applyFont="1" applyAlignment="1">
      <alignment horizontal="right" vertical="center"/>
    </xf>
    <xf numFmtId="165" fontId="8" fillId="0" borderId="0" xfId="93" applyNumberFormat="1" applyFont="1" applyProtection="1"/>
    <xf numFmtId="0" fontId="8" fillId="0" borderId="0" xfId="93" applyFont="1" applyProtection="1"/>
    <xf numFmtId="0" fontId="8" fillId="0" borderId="0" xfId="93" applyFont="1">
      <protection locked="0"/>
    </xf>
    <xf numFmtId="0" fontId="8" fillId="47" borderId="0" xfId="167" applyFont="1" applyFill="1" applyAlignment="1">
      <alignment horizontal="right" vertical="center"/>
    </xf>
    <xf numFmtId="172" fontId="8" fillId="0" borderId="0" xfId="74" applyNumberFormat="1" applyFont="1" applyAlignment="1">
      <alignment horizontal="left" vertical="center"/>
    </xf>
    <xf numFmtId="172" fontId="8" fillId="47" borderId="0" xfId="74" applyNumberFormat="1" applyFont="1" applyFill="1" applyAlignment="1">
      <alignment horizontal="right" vertical="center"/>
    </xf>
    <xf numFmtId="172" fontId="8" fillId="47" borderId="18" xfId="74" applyNumberFormat="1" applyFont="1" applyFill="1" applyBorder="1" applyAlignment="1">
      <alignment horizontal="right" vertical="center"/>
    </xf>
    <xf numFmtId="9" fontId="8" fillId="0" borderId="0" xfId="99" applyFont="1" applyAlignment="1">
      <alignment horizontal="left" vertical="center"/>
    </xf>
    <xf numFmtId="171" fontId="8" fillId="0" borderId="0" xfId="99" applyNumberFormat="1" applyFont="1" applyAlignment="1">
      <alignment horizontal="right" vertical="center"/>
    </xf>
    <xf numFmtId="172" fontId="8" fillId="47" borderId="0" xfId="74" applyNumberFormat="1" applyFont="1" applyFill="1" applyAlignment="1">
      <alignment horizontal="left" vertical="center"/>
    </xf>
    <xf numFmtId="171" fontId="8" fillId="47" borderId="0" xfId="99" applyNumberFormat="1" applyFont="1" applyFill="1" applyAlignment="1">
      <alignment horizontal="right" vertical="center"/>
    </xf>
    <xf numFmtId="168" fontId="14" fillId="0" borderId="0" xfId="171" applyNumberFormat="1" applyFont="1" applyAlignment="1" applyProtection="1">
      <alignment horizontal="left" vertical="center"/>
    </xf>
    <xf numFmtId="0" fontId="12" fillId="0" borderId="0" xfId="0" applyFont="1"/>
    <xf numFmtId="172" fontId="2" fillId="47" borderId="0" xfId="74" applyNumberFormat="1" applyFont="1" applyFill="1" applyAlignment="1">
      <alignment horizontal="right" vertical="center"/>
    </xf>
    <xf numFmtId="165" fontId="2" fillId="0" borderId="0" xfId="167" applyNumberFormat="1" applyAlignment="1">
      <alignment horizontal="center" vertical="center"/>
    </xf>
    <xf numFmtId="168" fontId="9" fillId="0" borderId="0" xfId="171" applyNumberFormat="1" applyFont="1" applyAlignment="1" applyProtection="1">
      <alignment horizontal="left" vertical="center"/>
    </xf>
    <xf numFmtId="172" fontId="8" fillId="47" borderId="21" xfId="74" applyNumberFormat="1" applyFont="1" applyFill="1" applyBorder="1" applyAlignment="1">
      <alignment horizontal="left" vertical="center"/>
    </xf>
    <xf numFmtId="172" fontId="8" fillId="0" borderId="21" xfId="74" applyNumberFormat="1" applyFont="1" applyBorder="1" applyAlignment="1">
      <alignment horizontal="left" vertical="center"/>
    </xf>
    <xf numFmtId="172" fontId="8" fillId="57" borderId="0" xfId="74" applyNumberFormat="1" applyFont="1" applyFill="1" applyAlignment="1">
      <alignment horizontal="left" vertical="center"/>
    </xf>
    <xf numFmtId="166" fontId="8" fillId="57" borderId="0" xfId="171" applyNumberFormat="1" applyFont="1" applyFill="1">
      <alignment vertical="center"/>
      <protection locked="0"/>
    </xf>
    <xf numFmtId="0" fontId="8" fillId="57" borderId="0" xfId="167" applyFont="1" applyFill="1" applyAlignment="1">
      <alignment horizontal="left" vertical="center"/>
    </xf>
    <xf numFmtId="0" fontId="9" fillId="57" borderId="0" xfId="167" applyFont="1" applyFill="1" applyAlignment="1">
      <alignment horizontal="left" vertical="center"/>
    </xf>
    <xf numFmtId="172" fontId="8" fillId="57" borderId="21" xfId="74" applyNumberFormat="1" applyFont="1" applyFill="1" applyBorder="1" applyAlignment="1">
      <alignment horizontal="left" vertical="center"/>
    </xf>
    <xf numFmtId="171" fontId="8" fillId="57" borderId="0" xfId="99" applyNumberFormat="1" applyFont="1" applyFill="1" applyAlignment="1">
      <alignment horizontal="right" vertical="center"/>
    </xf>
    <xf numFmtId="164" fontId="41" fillId="54" borderId="22" xfId="74" applyFont="1" applyFill="1" applyBorder="1" applyAlignment="1">
      <alignment horizontal="left"/>
    </xf>
    <xf numFmtId="165" fontId="11" fillId="51" borderId="0" xfId="0" applyNumberFormat="1" applyFont="1" applyFill="1"/>
    <xf numFmtId="165" fontId="41" fillId="54" borderId="22" xfId="92" quotePrefix="1" applyFont="1" applyFill="1" applyBorder="1" applyAlignment="1">
      <alignment horizontal="center"/>
    </xf>
    <xf numFmtId="0" fontId="11" fillId="51" borderId="0" xfId="0" applyFont="1" applyFill="1"/>
    <xf numFmtId="165" fontId="41" fillId="54" borderId="23" xfId="92" quotePrefix="1" applyFont="1" applyFill="1" applyBorder="1" applyAlignment="1">
      <alignment horizontal="center"/>
    </xf>
    <xf numFmtId="165" fontId="41" fillId="54" borderId="23" xfId="0" quotePrefix="1" applyNumberFormat="1" applyFont="1" applyFill="1" applyBorder="1" applyAlignment="1">
      <alignment horizontal="center"/>
    </xf>
    <xf numFmtId="165" fontId="41" fillId="54" borderId="23" xfId="0" quotePrefix="1" applyNumberFormat="1" applyFont="1" applyFill="1" applyBorder="1" applyAlignment="1">
      <alignment horizontal="center" wrapText="1"/>
    </xf>
    <xf numFmtId="0" fontId="11" fillId="0" borderId="0" xfId="0" applyFont="1"/>
    <xf numFmtId="164" fontId="41" fillId="55" borderId="22" xfId="74" applyFont="1" applyFill="1" applyBorder="1" applyAlignment="1">
      <alignment horizontal="left"/>
    </xf>
    <xf numFmtId="165" fontId="41" fillId="55" borderId="22" xfId="92" quotePrefix="1" applyFont="1" applyFill="1" applyBorder="1" applyAlignment="1">
      <alignment horizontal="center"/>
    </xf>
    <xf numFmtId="165" fontId="41" fillId="55" borderId="23" xfId="92" quotePrefix="1" applyFont="1" applyFill="1" applyBorder="1" applyAlignment="1">
      <alignment horizontal="center"/>
    </xf>
    <xf numFmtId="164" fontId="42" fillId="54" borderId="24" xfId="74" applyFont="1" applyFill="1" applyBorder="1"/>
    <xf numFmtId="37" fontId="11" fillId="51" borderId="0" xfId="0" applyNumberFormat="1" applyFont="1" applyFill="1" applyAlignment="1">
      <alignment horizontal="center"/>
    </xf>
    <xf numFmtId="174" fontId="41" fillId="54" borderId="24" xfId="92" applyNumberFormat="1" applyFont="1" applyFill="1" applyBorder="1" applyAlignment="1">
      <alignment horizontal="center"/>
    </xf>
    <xf numFmtId="174" fontId="41" fillId="54" borderId="24" xfId="0" applyNumberFormat="1" applyFont="1" applyFill="1" applyBorder="1" applyAlignment="1">
      <alignment horizontal="center"/>
    </xf>
    <xf numFmtId="164" fontId="42" fillId="55" borderId="24" xfId="74" applyFont="1" applyFill="1" applyBorder="1"/>
    <xf numFmtId="174" fontId="41" fillId="55" borderId="24" xfId="92" applyNumberFormat="1" applyFont="1" applyFill="1" applyBorder="1" applyAlignment="1">
      <alignment horizontal="center"/>
    </xf>
    <xf numFmtId="164" fontId="15" fillId="51" borderId="0" xfId="74" applyFont="1" applyFill="1" applyAlignment="1">
      <alignment horizontal="left"/>
    </xf>
    <xf numFmtId="0" fontId="15" fillId="51" borderId="0" xfId="0" applyFont="1" applyFill="1" applyAlignment="1">
      <alignment horizontal="center"/>
    </xf>
    <xf numFmtId="0" fontId="15" fillId="56" borderId="0" xfId="0" applyFont="1" applyFill="1" applyAlignment="1">
      <alignment horizontal="center"/>
    </xf>
    <xf numFmtId="164" fontId="15" fillId="0" borderId="0" xfId="74" applyFont="1"/>
    <xf numFmtId="173" fontId="11" fillId="0" borderId="0" xfId="0" applyNumberFormat="1" applyFont="1" applyAlignment="1">
      <alignment horizontal="right"/>
    </xf>
    <xf numFmtId="173" fontId="11" fillId="51" borderId="0" xfId="0" applyNumberFormat="1" applyFont="1" applyFill="1" applyAlignment="1">
      <alignment horizontal="right"/>
    </xf>
    <xf numFmtId="164" fontId="15" fillId="51" borderId="0" xfId="74" applyFont="1" applyFill="1"/>
    <xf numFmtId="173" fontId="11" fillId="56" borderId="0" xfId="0" applyNumberFormat="1" applyFont="1" applyFill="1" applyAlignment="1">
      <alignment horizontal="right"/>
    </xf>
    <xf numFmtId="164" fontId="11" fillId="0" borderId="0" xfId="74" applyFont="1"/>
    <xf numFmtId="173" fontId="43" fillId="51" borderId="0" xfId="91" applyNumberFormat="1" applyFont="1" applyFill="1" applyAlignment="1">
      <alignment horizontal="center"/>
    </xf>
    <xf numFmtId="164" fontId="11" fillId="51" borderId="0" xfId="74" applyFont="1" applyFill="1"/>
    <xf numFmtId="175" fontId="11" fillId="0" borderId="0" xfId="74" applyNumberFormat="1" applyFont="1"/>
    <xf numFmtId="164" fontId="15" fillId="0" borderId="0" xfId="74" applyFont="1" applyAlignment="1">
      <alignment horizontal="right"/>
    </xf>
    <xf numFmtId="173" fontId="15" fillId="51" borderId="0" xfId="0" applyNumberFormat="1" applyFont="1" applyFill="1" applyAlignment="1">
      <alignment horizontal="right"/>
    </xf>
    <xf numFmtId="173" fontId="15" fillId="56" borderId="25" xfId="0" applyNumberFormat="1" applyFont="1" applyFill="1" applyBorder="1" applyAlignment="1">
      <alignment horizontal="right"/>
    </xf>
    <xf numFmtId="0" fontId="15" fillId="51" borderId="25" xfId="0" applyFont="1" applyFill="1" applyBorder="1"/>
    <xf numFmtId="173" fontId="15" fillId="51" borderId="25" xfId="0" applyNumberFormat="1" applyFont="1" applyFill="1" applyBorder="1" applyAlignment="1">
      <alignment horizontal="right"/>
    </xf>
    <xf numFmtId="0" fontId="15" fillId="51" borderId="0" xfId="0" applyFont="1" applyFill="1"/>
    <xf numFmtId="173" fontId="15" fillId="56" borderId="0" xfId="0" applyNumberFormat="1" applyFont="1" applyFill="1" applyAlignment="1">
      <alignment horizontal="right"/>
    </xf>
    <xf numFmtId="164" fontId="11" fillId="51" borderId="0" xfId="74" applyFont="1" applyFill="1" applyAlignment="1">
      <alignment horizontal="left"/>
    </xf>
    <xf numFmtId="0" fontId="15" fillId="0" borderId="0" xfId="0" applyFont="1"/>
    <xf numFmtId="173" fontId="15" fillId="0" borderId="0" xfId="0" applyNumberFormat="1" applyFont="1" applyAlignment="1">
      <alignment horizontal="right"/>
    </xf>
    <xf numFmtId="173" fontId="15" fillId="56" borderId="26" xfId="0" applyNumberFormat="1" applyFont="1" applyFill="1" applyBorder="1" applyAlignment="1">
      <alignment horizontal="right"/>
    </xf>
    <xf numFmtId="173" fontId="15" fillId="51" borderId="26" xfId="0" applyNumberFormat="1" applyFont="1" applyFill="1" applyBorder="1" applyAlignment="1">
      <alignment horizontal="right"/>
    </xf>
    <xf numFmtId="0" fontId="44" fillId="0" borderId="0" xfId="91" applyFont="1"/>
    <xf numFmtId="0" fontId="45" fillId="0" borderId="0" xfId="91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0" fillId="0" borderId="27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0" fontId="0" fillId="0" borderId="32" xfId="0" applyBorder="1"/>
    <xf numFmtId="164" fontId="0" fillId="0" borderId="32" xfId="0" applyNumberFormat="1" applyBorder="1"/>
    <xf numFmtId="164" fontId="0" fillId="0" borderId="0" xfId="0" applyNumberFormat="1"/>
    <xf numFmtId="164" fontId="0" fillId="0" borderId="33" xfId="0" applyNumberFormat="1" applyBorder="1"/>
    <xf numFmtId="0" fontId="0" fillId="0" borderId="34" xfId="0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14" xfId="0" applyNumberFormat="1" applyBorder="1"/>
    <xf numFmtId="0" fontId="0" fillId="0" borderId="27" xfId="0" pivotButton="1" applyBorder="1"/>
    <xf numFmtId="0" fontId="0" fillId="58" borderId="32" xfId="0" applyFill="1" applyBorder="1"/>
    <xf numFmtId="164" fontId="0" fillId="58" borderId="32" xfId="0" applyNumberFormat="1" applyFill="1" applyBorder="1"/>
    <xf numFmtId="164" fontId="0" fillId="58" borderId="0" xfId="0" applyNumberFormat="1" applyFill="1"/>
    <xf numFmtId="164" fontId="0" fillId="58" borderId="33" xfId="0" applyNumberFormat="1" applyFill="1" applyBorder="1"/>
    <xf numFmtId="0" fontId="0" fillId="58" borderId="0" xfId="0" applyFill="1"/>
    <xf numFmtId="0" fontId="0" fillId="59" borderId="32" xfId="0" applyFill="1" applyBorder="1"/>
    <xf numFmtId="164" fontId="0" fillId="59" borderId="32" xfId="0" applyNumberFormat="1" applyFill="1" applyBorder="1"/>
    <xf numFmtId="164" fontId="0" fillId="59" borderId="0" xfId="0" applyNumberFormat="1" applyFill="1"/>
    <xf numFmtId="164" fontId="0" fillId="59" borderId="33" xfId="0" applyNumberFormat="1" applyFill="1" applyBorder="1"/>
    <xf numFmtId="0" fontId="0" fillId="59" borderId="0" xfId="0" applyFill="1"/>
    <xf numFmtId="0" fontId="0" fillId="61" borderId="0" xfId="0" applyFill="1"/>
    <xf numFmtId="172" fontId="46" fillId="0" borderId="0" xfId="74" applyNumberFormat="1" applyFont="1" applyAlignment="1">
      <alignment horizontal="left" vertical="center"/>
    </xf>
    <xf numFmtId="169" fontId="8" fillId="62" borderId="0" xfId="167" applyNumberFormat="1" applyFont="1" applyFill="1">
      <alignment horizontal="right" vertical="center" wrapText="1"/>
    </xf>
    <xf numFmtId="0" fontId="8" fillId="62" borderId="0" xfId="167" applyFont="1" applyFill="1" applyAlignment="1">
      <alignment horizontal="right" vertical="center"/>
    </xf>
    <xf numFmtId="172" fontId="8" fillId="62" borderId="0" xfId="74" applyNumberFormat="1" applyFont="1" applyFill="1" applyAlignment="1">
      <alignment horizontal="left" vertical="center"/>
    </xf>
    <xf numFmtId="172" fontId="8" fillId="62" borderId="21" xfId="74" applyNumberFormat="1" applyFont="1" applyFill="1" applyBorder="1" applyAlignment="1">
      <alignment horizontal="left" vertical="center"/>
    </xf>
    <xf numFmtId="171" fontId="8" fillId="62" borderId="0" xfId="99" applyNumberFormat="1" applyFont="1" applyFill="1" applyAlignment="1">
      <alignment horizontal="right" vertical="center"/>
    </xf>
    <xf numFmtId="0" fontId="0" fillId="62" borderId="0" xfId="0" applyFill="1"/>
    <xf numFmtId="0" fontId="41" fillId="63" borderId="0" xfId="180" applyFont="1" applyFill="1"/>
    <xf numFmtId="0" fontId="42" fillId="63" borderId="0" xfId="180" applyFont="1" applyFill="1"/>
    <xf numFmtId="176" fontId="42" fillId="63" borderId="0" xfId="74" applyNumberFormat="1" applyFont="1" applyFill="1"/>
    <xf numFmtId="0" fontId="17" fillId="0" borderId="0" xfId="180" applyFont="1"/>
    <xf numFmtId="0" fontId="41" fillId="63" borderId="0" xfId="180" applyFont="1" applyFill="1" applyAlignment="1">
      <alignment wrapText="1"/>
    </xf>
    <xf numFmtId="17" fontId="17" fillId="0" borderId="0" xfId="180" applyNumberFormat="1" applyFont="1"/>
    <xf numFmtId="0" fontId="26" fillId="0" borderId="0" xfId="180" applyFont="1"/>
    <xf numFmtId="176" fontId="17" fillId="0" borderId="0" xfId="74" applyNumberFormat="1" applyFont="1"/>
    <xf numFmtId="177" fontId="17" fillId="0" borderId="0" xfId="180" applyNumberFormat="1" applyFont="1"/>
    <xf numFmtId="0" fontId="26" fillId="0" borderId="36" xfId="180" applyFont="1" applyBorder="1"/>
    <xf numFmtId="177" fontId="17" fillId="0" borderId="36" xfId="180" applyNumberFormat="1" applyFont="1" applyBorder="1"/>
    <xf numFmtId="176" fontId="17" fillId="0" borderId="36" xfId="74" applyNumberFormat="1" applyFont="1" applyBorder="1"/>
    <xf numFmtId="171" fontId="17" fillId="0" borderId="36" xfId="99" applyNumberFormat="1" applyFont="1" applyBorder="1"/>
    <xf numFmtId="171" fontId="17" fillId="0" borderId="0" xfId="99" applyNumberFormat="1" applyFont="1"/>
    <xf numFmtId="176" fontId="41" fillId="63" borderId="0" xfId="74" applyNumberFormat="1" applyFont="1" applyFill="1" applyAlignment="1">
      <alignment wrapText="1"/>
    </xf>
    <xf numFmtId="175" fontId="11" fillId="51" borderId="0" xfId="74" applyNumberFormat="1" applyFont="1" applyFill="1"/>
    <xf numFmtId="170" fontId="9" fillId="51" borderId="0" xfId="167" applyNumberFormat="1" applyFont="1" applyFill="1" applyAlignment="1">
      <alignment horizontal="right" vertical="center"/>
    </xf>
    <xf numFmtId="0" fontId="9" fillId="51" borderId="0" xfId="167" applyFont="1" applyFill="1" applyAlignment="1">
      <alignment horizontal="right" vertical="center"/>
    </xf>
    <xf numFmtId="165" fontId="9" fillId="51" borderId="0" xfId="168" applyFont="1" applyFill="1" applyBorder="1" applyProtection="1">
      <alignment horizontal="right" vertical="center"/>
    </xf>
    <xf numFmtId="165" fontId="9" fillId="51" borderId="0" xfId="167" applyNumberFormat="1" applyFont="1" applyFill="1">
      <alignment horizontal="right" vertical="center" wrapText="1"/>
    </xf>
    <xf numFmtId="175" fontId="11" fillId="47" borderId="0" xfId="74" applyNumberFormat="1" applyFont="1" applyFill="1"/>
    <xf numFmtId="178" fontId="11" fillId="51" borderId="0" xfId="0" applyNumberFormat="1" applyFont="1" applyFill="1"/>
    <xf numFmtId="164" fontId="43" fillId="51" borderId="0" xfId="74" applyFont="1" applyFill="1"/>
    <xf numFmtId="0" fontId="43" fillId="0" borderId="0" xfId="0" applyFont="1"/>
    <xf numFmtId="165" fontId="8" fillId="62" borderId="0" xfId="93" applyNumberFormat="1" applyFont="1" applyFill="1" applyProtection="1"/>
    <xf numFmtId="0" fontId="9" fillId="62" borderId="0" xfId="167" applyFont="1" applyFill="1" applyAlignment="1">
      <alignment horizontal="right" vertical="center"/>
    </xf>
    <xf numFmtId="0" fontId="8" fillId="62" borderId="0" xfId="167" applyFont="1" applyFill="1" applyAlignment="1">
      <alignment horizontal="left" vertical="center"/>
    </xf>
    <xf numFmtId="166" fontId="8" fillId="62" borderId="0" xfId="171" applyNumberFormat="1" applyFont="1" applyFill="1">
      <alignment vertical="center"/>
      <protection locked="0"/>
    </xf>
    <xf numFmtId="0" fontId="9" fillId="62" borderId="0" xfId="167" applyFont="1" applyFill="1" applyAlignment="1">
      <alignment horizontal="left" vertical="center"/>
    </xf>
    <xf numFmtId="171" fontId="8" fillId="62" borderId="0" xfId="99" applyNumberFormat="1" applyFont="1" applyFill="1" applyAlignment="1" applyProtection="1">
      <alignment vertical="center"/>
      <protection locked="0"/>
    </xf>
    <xf numFmtId="9" fontId="8" fillId="62" borderId="0" xfId="99" applyFont="1" applyFill="1" applyAlignment="1">
      <alignment horizontal="right" vertical="center"/>
    </xf>
    <xf numFmtId="168" fontId="8" fillId="62" borderId="0" xfId="171" applyNumberFormat="1" applyFont="1" applyFill="1" applyAlignment="1" applyProtection="1">
      <alignment horizontal="left" vertical="center"/>
    </xf>
    <xf numFmtId="168" fontId="8" fillId="62" borderId="0" xfId="171" applyNumberFormat="1" applyFont="1" applyFill="1" applyAlignment="1" applyProtection="1">
      <alignment horizontal="right" vertical="center"/>
    </xf>
    <xf numFmtId="172" fontId="0" fillId="62" borderId="0" xfId="74" applyNumberFormat="1" applyFont="1" applyFill="1"/>
    <xf numFmtId="165" fontId="2" fillId="62" borderId="0" xfId="167" applyNumberFormat="1" applyFill="1" applyAlignment="1">
      <alignment horizontal="center" vertical="center"/>
    </xf>
    <xf numFmtId="165" fontId="8" fillId="62" borderId="0" xfId="167" applyNumberFormat="1" applyFont="1" applyFill="1">
      <alignment horizontal="right" vertical="center" wrapText="1"/>
    </xf>
    <xf numFmtId="168" fontId="8" fillId="62" borderId="21" xfId="171" applyNumberFormat="1" applyFont="1" applyFill="1" applyBorder="1" applyAlignment="1" applyProtection="1">
      <alignment horizontal="left" vertical="center"/>
    </xf>
    <xf numFmtId="165" fontId="8" fillId="62" borderId="0" xfId="171" applyFont="1" applyFill="1" applyAlignment="1" applyProtection="1">
      <alignment horizontal="right" vertical="center"/>
    </xf>
    <xf numFmtId="168" fontId="9" fillId="62" borderId="0" xfId="171" applyNumberFormat="1" applyFont="1" applyFill="1" applyAlignment="1" applyProtection="1">
      <alignment horizontal="left" vertical="center"/>
    </xf>
    <xf numFmtId="168" fontId="14" fillId="62" borderId="0" xfId="171" applyNumberFormat="1" applyFont="1" applyFill="1" applyAlignment="1" applyProtection="1">
      <alignment horizontal="left" vertical="center"/>
    </xf>
    <xf numFmtId="165" fontId="9" fillId="62" borderId="0" xfId="167" applyNumberFormat="1" applyFont="1" applyFill="1" applyAlignment="1">
      <alignment horizontal="right" vertical="center"/>
    </xf>
    <xf numFmtId="169" fontId="8" fillId="62" borderId="33" xfId="167" applyNumberFormat="1" applyFont="1" applyFill="1" applyBorder="1">
      <alignment horizontal="right" vertical="center" wrapText="1"/>
    </xf>
    <xf numFmtId="0" fontId="8" fillId="62" borderId="33" xfId="167" applyFont="1" applyFill="1" applyBorder="1" applyAlignment="1">
      <alignment horizontal="right" vertical="center"/>
    </xf>
    <xf numFmtId="172" fontId="2" fillId="47" borderId="33" xfId="74" applyNumberFormat="1" applyFont="1" applyFill="1" applyBorder="1" applyAlignment="1">
      <alignment horizontal="right" vertical="center"/>
    </xf>
    <xf numFmtId="0" fontId="8" fillId="47" borderId="33" xfId="167" applyFont="1" applyFill="1" applyBorder="1" applyAlignment="1">
      <alignment horizontal="right" vertical="center"/>
    </xf>
    <xf numFmtId="172" fontId="8" fillId="47" borderId="33" xfId="74" applyNumberFormat="1" applyFont="1" applyFill="1" applyBorder="1" applyAlignment="1">
      <alignment horizontal="right" vertical="center"/>
    </xf>
    <xf numFmtId="165" fontId="8" fillId="62" borderId="40" xfId="168" applyFont="1" applyFill="1" applyBorder="1" applyProtection="1">
      <alignment horizontal="right" vertical="center"/>
    </xf>
    <xf numFmtId="165" fontId="2" fillId="62" borderId="33" xfId="167" applyNumberFormat="1" applyFill="1" applyBorder="1" applyAlignment="1">
      <alignment horizontal="center" vertical="center"/>
    </xf>
    <xf numFmtId="172" fontId="8" fillId="47" borderId="40" xfId="74" applyNumberFormat="1" applyFont="1" applyFill="1" applyBorder="1" applyAlignment="1">
      <alignment horizontal="right" vertical="center"/>
    </xf>
    <xf numFmtId="0" fontId="8" fillId="62" borderId="41" xfId="93" applyFont="1" applyFill="1" applyBorder="1" applyProtection="1"/>
    <xf numFmtId="165" fontId="8" fillId="0" borderId="41" xfId="93" applyNumberFormat="1" applyFont="1" applyBorder="1" applyProtection="1"/>
    <xf numFmtId="165" fontId="9" fillId="57" borderId="0" xfId="168" applyFont="1" applyFill="1" applyBorder="1" applyProtection="1">
      <alignment horizontal="right" vertical="center"/>
    </xf>
    <xf numFmtId="165" fontId="9" fillId="62" borderId="0" xfId="168" applyFont="1" applyFill="1" applyBorder="1" applyProtection="1">
      <alignment horizontal="right" vertical="center"/>
    </xf>
    <xf numFmtId="168" fontId="47" fillId="62" borderId="0" xfId="171" applyNumberFormat="1" applyFont="1" applyFill="1" applyAlignment="1" applyProtection="1">
      <alignment horizontal="left" vertical="center"/>
    </xf>
    <xf numFmtId="172" fontId="47" fillId="47" borderId="21" xfId="74" applyNumberFormat="1" applyFont="1" applyFill="1" applyBorder="1" applyAlignment="1">
      <alignment horizontal="left" vertical="center"/>
    </xf>
    <xf numFmtId="172" fontId="47" fillId="62" borderId="21" xfId="74" applyNumberFormat="1" applyFont="1" applyFill="1" applyBorder="1" applyAlignment="1">
      <alignment horizontal="left" vertical="center"/>
    </xf>
    <xf numFmtId="172" fontId="47" fillId="57" borderId="21" xfId="74" applyNumberFormat="1" applyFont="1" applyFill="1" applyBorder="1" applyAlignment="1">
      <alignment horizontal="left" vertical="center"/>
    </xf>
    <xf numFmtId="168" fontId="47" fillId="0" borderId="0" xfId="171" applyNumberFormat="1" applyFont="1" applyAlignment="1" applyProtection="1">
      <alignment horizontal="left" vertical="center"/>
    </xf>
    <xf numFmtId="168" fontId="47" fillId="62" borderId="37" xfId="171" applyNumberFormat="1" applyFont="1" applyFill="1" applyBorder="1" applyAlignment="1" applyProtection="1">
      <alignment horizontal="left" vertical="center"/>
    </xf>
    <xf numFmtId="172" fontId="47" fillId="47" borderId="37" xfId="74" applyNumberFormat="1" applyFont="1" applyFill="1" applyBorder="1" applyAlignment="1">
      <alignment horizontal="left" vertical="center"/>
    </xf>
    <xf numFmtId="172" fontId="47" fillId="62" borderId="37" xfId="74" applyNumberFormat="1" applyFont="1" applyFill="1" applyBorder="1" applyAlignment="1">
      <alignment horizontal="left" vertical="center"/>
    </xf>
    <xf numFmtId="178" fontId="43" fillId="51" borderId="37" xfId="0" applyNumberFormat="1" applyFont="1" applyFill="1" applyBorder="1"/>
    <xf numFmtId="166" fontId="47" fillId="57" borderId="37" xfId="171" applyNumberFormat="1" applyFont="1" applyFill="1" applyBorder="1">
      <alignment vertical="center"/>
      <protection locked="0"/>
    </xf>
    <xf numFmtId="0" fontId="47" fillId="62" borderId="37" xfId="167" applyFont="1" applyFill="1" applyBorder="1" applyAlignment="1">
      <alignment horizontal="left" vertical="center"/>
    </xf>
    <xf numFmtId="166" fontId="47" fillId="62" borderId="37" xfId="171" applyNumberFormat="1" applyFont="1" applyFill="1" applyBorder="1">
      <alignment vertical="center"/>
      <protection locked="0"/>
    </xf>
    <xf numFmtId="0" fontId="48" fillId="62" borderId="37" xfId="0" applyFont="1" applyFill="1" applyBorder="1"/>
    <xf numFmtId="0" fontId="8" fillId="62" borderId="0" xfId="93" applyFont="1" applyFill="1" applyProtection="1"/>
    <xf numFmtId="165" fontId="8" fillId="62" borderId="0" xfId="168" applyFont="1" applyFill="1" applyBorder="1" applyProtection="1">
      <alignment horizontal="right" vertical="center"/>
    </xf>
    <xf numFmtId="168" fontId="8" fillId="62" borderId="0" xfId="171" quotePrefix="1" applyNumberFormat="1" applyFont="1" applyFill="1" applyAlignment="1" applyProtection="1">
      <alignment horizontal="left" vertical="center"/>
    </xf>
    <xf numFmtId="165" fontId="8" fillId="0" borderId="0" xfId="93" applyNumberFormat="1" applyFont="1" applyAlignment="1" applyProtection="1">
      <alignment wrapText="1"/>
    </xf>
    <xf numFmtId="0" fontId="8" fillId="0" borderId="0" xfId="93" applyFont="1" applyAlignment="1">
      <alignment wrapText="1"/>
      <protection locked="0"/>
    </xf>
    <xf numFmtId="164" fontId="11" fillId="57" borderId="0" xfId="74" applyFont="1" applyFill="1"/>
    <xf numFmtId="175" fontId="11" fillId="57" borderId="0" xfId="74" applyNumberFormat="1" applyFont="1" applyFill="1"/>
    <xf numFmtId="0" fontId="1" fillId="0" borderId="0" xfId="0" applyFont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164" fontId="0" fillId="0" borderId="43" xfId="0" applyNumberFormat="1" applyBorder="1"/>
    <xf numFmtId="164" fontId="0" fillId="0" borderId="46" xfId="0" applyNumberFormat="1" applyBorder="1"/>
    <xf numFmtId="164" fontId="0" fillId="0" borderId="47" xfId="0" applyNumberFormat="1" applyBorder="1"/>
    <xf numFmtId="0" fontId="0" fillId="0" borderId="48" xfId="0" applyBorder="1"/>
    <xf numFmtId="164" fontId="0" fillId="0" borderId="48" xfId="0" applyNumberFormat="1" applyBorder="1"/>
    <xf numFmtId="164" fontId="0" fillId="0" borderId="49" xfId="0" applyNumberFormat="1" applyBorder="1"/>
    <xf numFmtId="0" fontId="0" fillId="0" borderId="50" xfId="0" applyBorder="1"/>
    <xf numFmtId="164" fontId="0" fillId="0" borderId="50" xfId="0" applyNumberFormat="1" applyBorder="1"/>
    <xf numFmtId="164" fontId="0" fillId="0" borderId="51" xfId="0" applyNumberFormat="1" applyBorder="1"/>
    <xf numFmtId="164" fontId="0" fillId="0" borderId="52" xfId="0" applyNumberFormat="1" applyBorder="1"/>
    <xf numFmtId="0" fontId="0" fillId="0" borderId="43" xfId="0" pivotButton="1" applyBorder="1"/>
    <xf numFmtId="0" fontId="0" fillId="58" borderId="48" xfId="0" applyFill="1" applyBorder="1"/>
    <xf numFmtId="164" fontId="0" fillId="58" borderId="48" xfId="0" applyNumberFormat="1" applyFill="1" applyBorder="1"/>
    <xf numFmtId="164" fontId="0" fillId="58" borderId="49" xfId="0" applyNumberFormat="1" applyFill="1" applyBorder="1"/>
    <xf numFmtId="0" fontId="0" fillId="59" borderId="48" xfId="0" applyFill="1" applyBorder="1"/>
    <xf numFmtId="164" fontId="0" fillId="59" borderId="48" xfId="0" applyNumberFormat="1" applyFill="1" applyBorder="1"/>
    <xf numFmtId="164" fontId="0" fillId="59" borderId="49" xfId="0" applyNumberFormat="1" applyFill="1" applyBorder="1"/>
    <xf numFmtId="179" fontId="0" fillId="0" borderId="0" xfId="74" applyNumberFormat="1" applyFont="1"/>
    <xf numFmtId="179" fontId="0" fillId="59" borderId="0" xfId="74" applyNumberFormat="1" applyFont="1" applyFill="1"/>
    <xf numFmtId="179" fontId="0" fillId="58" borderId="0" xfId="74" applyNumberFormat="1" applyFont="1" applyFill="1"/>
    <xf numFmtId="0" fontId="49" fillId="62" borderId="0" xfId="0" applyFont="1" applyFill="1"/>
    <xf numFmtId="176" fontId="49" fillId="62" borderId="0" xfId="74" applyNumberFormat="1" applyFont="1" applyFill="1"/>
    <xf numFmtId="0" fontId="50" fillId="62" borderId="0" xfId="0" applyFont="1" applyFill="1"/>
    <xf numFmtId="0" fontId="0" fillId="39" borderId="53" xfId="0" applyFill="1" applyBorder="1"/>
    <xf numFmtId="0" fontId="0" fillId="0" borderId="54" xfId="0" applyBorder="1" applyAlignment="1">
      <alignment horizontal="left"/>
    </xf>
    <xf numFmtId="0" fontId="0" fillId="39" borderId="55" xfId="0" applyFill="1" applyBorder="1"/>
    <xf numFmtId="0" fontId="0" fillId="0" borderId="42" xfId="0" applyBorder="1" applyAlignment="1">
      <alignment horizontal="left"/>
    </xf>
    <xf numFmtId="17" fontId="9" fillId="62" borderId="0" xfId="0" applyNumberFormat="1" applyFont="1" applyFill="1" applyAlignment="1">
      <alignment horizontal="right"/>
    </xf>
    <xf numFmtId="0" fontId="9" fillId="62" borderId="0" xfId="0" applyFont="1" applyFill="1"/>
    <xf numFmtId="0" fontId="9" fillId="62" borderId="0" xfId="0" applyFont="1" applyFill="1" applyAlignment="1">
      <alignment horizontal="right"/>
    </xf>
    <xf numFmtId="0" fontId="9" fillId="62" borderId="1" xfId="0" applyFont="1" applyFill="1" applyBorder="1"/>
    <xf numFmtId="0" fontId="9" fillId="62" borderId="1" xfId="0" applyFont="1" applyFill="1" applyBorder="1" applyAlignment="1">
      <alignment horizontal="right"/>
    </xf>
    <xf numFmtId="17" fontId="9" fillId="62" borderId="1" xfId="0" applyNumberFormat="1" applyFont="1" applyFill="1" applyBorder="1" applyAlignment="1">
      <alignment horizontal="right"/>
    </xf>
    <xf numFmtId="179" fontId="49" fillId="62" borderId="0" xfId="0" applyNumberFormat="1" applyFont="1" applyFill="1" applyAlignment="1">
      <alignment horizontal="right"/>
    </xf>
    <xf numFmtId="172" fontId="49" fillId="62" borderId="0" xfId="74" applyNumberFormat="1" applyFont="1" applyFill="1"/>
    <xf numFmtId="0" fontId="0" fillId="39" borderId="56" xfId="0" applyFill="1" applyBorder="1"/>
    <xf numFmtId="0" fontId="0" fillId="0" borderId="57" xfId="0" applyBorder="1" applyAlignment="1">
      <alignment horizontal="left"/>
    </xf>
    <xf numFmtId="0" fontId="49" fillId="62" borderId="58" xfId="0" applyFont="1" applyFill="1" applyBorder="1"/>
    <xf numFmtId="179" fontId="49" fillId="62" borderId="58" xfId="0" applyNumberFormat="1" applyFont="1" applyFill="1" applyBorder="1"/>
    <xf numFmtId="172" fontId="49" fillId="62" borderId="58" xfId="74" applyNumberFormat="1" applyFont="1" applyFill="1" applyBorder="1"/>
    <xf numFmtId="179" fontId="49" fillId="62" borderId="0" xfId="0" applyNumberFormat="1" applyFont="1" applyFill="1"/>
    <xf numFmtId="176" fontId="0" fillId="0" borderId="0" xfId="74" applyNumberFormat="1" applyFont="1"/>
    <xf numFmtId="175" fontId="0" fillId="0" borderId="0" xfId="74" applyNumberFormat="1" applyFont="1"/>
    <xf numFmtId="0" fontId="1" fillId="0" borderId="42" xfId="0" applyFont="1" applyBorder="1" applyAlignment="1">
      <alignment horizontal="left"/>
    </xf>
    <xf numFmtId="176" fontId="0" fillId="62" borderId="0" xfId="74" applyNumberFormat="1" applyFont="1" applyFill="1"/>
    <xf numFmtId="0" fontId="50" fillId="58" borderId="0" xfId="0" applyFont="1" applyFill="1"/>
    <xf numFmtId="0" fontId="0" fillId="60" borderId="0" xfId="0" applyFill="1"/>
    <xf numFmtId="0" fontId="1" fillId="54" borderId="0" xfId="91" applyFont="1" applyFill="1"/>
    <xf numFmtId="0" fontId="1" fillId="0" borderId="0" xfId="91" applyFont="1"/>
    <xf numFmtId="37" fontId="51" fillId="54" borderId="0" xfId="91" applyNumberFormat="1" applyFont="1" applyFill="1"/>
    <xf numFmtId="37" fontId="52" fillId="39" borderId="0" xfId="91" applyNumberFormat="1" applyFont="1" applyFill="1" applyAlignment="1">
      <alignment horizontal="centerContinuous"/>
    </xf>
    <xf numFmtId="37" fontId="51" fillId="0" borderId="0" xfId="91" applyNumberFormat="1" applyFont="1"/>
    <xf numFmtId="37" fontId="52" fillId="54" borderId="0" xfId="91" applyNumberFormat="1" applyFont="1" applyFill="1"/>
    <xf numFmtId="180" fontId="53" fillId="39" borderId="0" xfId="91" quotePrefix="1" applyNumberFormat="1" applyFont="1" applyFill="1" applyAlignment="1">
      <alignment horizontal="centerContinuous"/>
    </xf>
    <xf numFmtId="37" fontId="52" fillId="0" borderId="0" xfId="91" applyNumberFormat="1" applyFont="1"/>
    <xf numFmtId="37" fontId="1" fillId="54" borderId="0" xfId="91" applyNumberFormat="1" applyFont="1" applyFill="1"/>
    <xf numFmtId="37" fontId="1" fillId="0" borderId="0" xfId="91" applyNumberFormat="1" applyFont="1"/>
    <xf numFmtId="165" fontId="1" fillId="54" borderId="0" xfId="91" applyNumberFormat="1" applyFont="1" applyFill="1"/>
    <xf numFmtId="165" fontId="1" fillId="0" borderId="0" xfId="91" applyNumberFormat="1" applyFont="1"/>
    <xf numFmtId="37" fontId="12" fillId="0" borderId="0" xfId="91" applyNumberFormat="1" applyFont="1"/>
    <xf numFmtId="180" fontId="1" fillId="0" borderId="0" xfId="91" quotePrefix="1" applyNumberFormat="1" applyFont="1" applyAlignment="1">
      <alignment horizontal="centerContinuous"/>
    </xf>
    <xf numFmtId="165" fontId="54" fillId="0" borderId="0" xfId="91" applyNumberFormat="1" applyFont="1"/>
    <xf numFmtId="0" fontId="1" fillId="0" borderId="0" xfId="91" applyFont="1" applyAlignment="1">
      <alignment horizontal="center"/>
    </xf>
    <xf numFmtId="165" fontId="55" fillId="0" borderId="0" xfId="92" applyFont="1" applyAlignment="1">
      <alignment horizontal="center"/>
    </xf>
    <xf numFmtId="165" fontId="55" fillId="0" borderId="55" xfId="92" applyFont="1" applyBorder="1" applyAlignment="1">
      <alignment horizontal="center"/>
    </xf>
    <xf numFmtId="165" fontId="55" fillId="0" borderId="60" xfId="92" applyFont="1" applyBorder="1" applyAlignment="1">
      <alignment horizontal="center"/>
    </xf>
    <xf numFmtId="165" fontId="55" fillId="0" borderId="54" xfId="92" applyFont="1" applyBorder="1" applyAlignment="1">
      <alignment horizontal="center"/>
    </xf>
    <xf numFmtId="174" fontId="55" fillId="0" borderId="53" xfId="92" applyNumberFormat="1" applyFont="1" applyBorder="1" applyAlignment="1">
      <alignment horizontal="center"/>
    </xf>
    <xf numFmtId="174" fontId="55" fillId="0" borderId="60" xfId="92" applyNumberFormat="1" applyFont="1" applyBorder="1" applyAlignment="1">
      <alignment horizontal="center"/>
    </xf>
    <xf numFmtId="173" fontId="1" fillId="0" borderId="0" xfId="91" applyNumberFormat="1" applyFont="1"/>
    <xf numFmtId="0" fontId="56" fillId="54" borderId="0" xfId="91" applyFont="1" applyFill="1"/>
    <xf numFmtId="0" fontId="56" fillId="0" borderId="0" xfId="91" applyFont="1" applyAlignment="1">
      <alignment horizontal="center"/>
    </xf>
    <xf numFmtId="173" fontId="56" fillId="0" borderId="42" xfId="91" applyNumberFormat="1" applyFont="1" applyBorder="1" applyAlignment="1">
      <alignment horizontal="right"/>
    </xf>
    <xf numFmtId="173" fontId="56" fillId="0" borderId="55" xfId="91" applyNumberFormat="1" applyFont="1" applyBorder="1" applyAlignment="1">
      <alignment horizontal="right"/>
    </xf>
    <xf numFmtId="181" fontId="56" fillId="0" borderId="0" xfId="91" applyNumberFormat="1" applyFont="1" applyAlignment="1">
      <alignment horizontal="center"/>
    </xf>
    <xf numFmtId="37" fontId="57" fillId="0" borderId="0" xfId="91" applyNumberFormat="1" applyFont="1"/>
    <xf numFmtId="0" fontId="56" fillId="0" borderId="0" xfId="91" applyFont="1"/>
    <xf numFmtId="173" fontId="1" fillId="0" borderId="55" xfId="91" applyNumberFormat="1" applyFont="1" applyBorder="1" applyAlignment="1">
      <alignment horizontal="right"/>
    </xf>
    <xf numFmtId="173" fontId="1" fillId="47" borderId="0" xfId="91" applyNumberFormat="1" applyFont="1" applyFill="1" applyAlignment="1">
      <alignment horizontal="right"/>
    </xf>
    <xf numFmtId="173" fontId="1" fillId="0" borderId="0" xfId="91" applyNumberFormat="1" applyFont="1" applyAlignment="1">
      <alignment horizontal="right"/>
    </xf>
    <xf numFmtId="173" fontId="1" fillId="0" borderId="42" xfId="91" applyNumberFormat="1" applyFont="1" applyBorder="1" applyAlignment="1">
      <alignment horizontal="right"/>
    </xf>
    <xf numFmtId="173" fontId="58" fillId="0" borderId="55" xfId="91" applyNumberFormat="1" applyFont="1" applyBorder="1" applyAlignment="1">
      <alignment horizontal="right"/>
    </xf>
    <xf numFmtId="173" fontId="58" fillId="0" borderId="0" xfId="91" applyNumberFormat="1" applyFont="1" applyAlignment="1">
      <alignment horizontal="right"/>
    </xf>
    <xf numFmtId="173" fontId="58" fillId="0" borderId="42" xfId="91" applyNumberFormat="1" applyFont="1" applyBorder="1" applyAlignment="1">
      <alignment horizontal="right"/>
    </xf>
    <xf numFmtId="181" fontId="1" fillId="0" borderId="0" xfId="91" applyNumberFormat="1" applyFont="1" applyAlignment="1">
      <alignment horizontal="center"/>
    </xf>
    <xf numFmtId="0" fontId="57" fillId="0" borderId="0" xfId="91" applyFont="1" applyAlignment="1">
      <alignment horizontal="center"/>
    </xf>
    <xf numFmtId="173" fontId="57" fillId="0" borderId="42" xfId="91" applyNumberFormat="1" applyFont="1" applyBorder="1" applyAlignment="1">
      <alignment horizontal="right"/>
    </xf>
    <xf numFmtId="173" fontId="57" fillId="0" borderId="55" xfId="91" applyNumberFormat="1" applyFont="1" applyBorder="1" applyAlignment="1">
      <alignment horizontal="right"/>
    </xf>
    <xf numFmtId="173" fontId="57" fillId="0" borderId="0" xfId="91" applyNumberFormat="1" applyFont="1" applyAlignment="1">
      <alignment horizontal="right"/>
    </xf>
    <xf numFmtId="171" fontId="1" fillId="0" borderId="55" xfId="99" applyNumberFormat="1" applyBorder="1" applyAlignment="1">
      <alignment horizontal="right"/>
    </xf>
    <xf numFmtId="0" fontId="53" fillId="54" borderId="0" xfId="91" applyFont="1" applyFill="1"/>
    <xf numFmtId="0" fontId="53" fillId="0" borderId="0" xfId="91" applyFont="1" applyAlignment="1">
      <alignment horizontal="center"/>
    </xf>
    <xf numFmtId="173" fontId="53" fillId="0" borderId="55" xfId="91" applyNumberFormat="1" applyFont="1" applyBorder="1" applyAlignment="1">
      <alignment horizontal="right"/>
    </xf>
    <xf numFmtId="173" fontId="53" fillId="0" borderId="42" xfId="91" applyNumberFormat="1" applyFont="1" applyBorder="1" applyAlignment="1">
      <alignment horizontal="right"/>
    </xf>
    <xf numFmtId="173" fontId="53" fillId="0" borderId="0" xfId="91" applyNumberFormat="1" applyFont="1" applyAlignment="1">
      <alignment horizontal="right"/>
    </xf>
    <xf numFmtId="181" fontId="53" fillId="0" borderId="0" xfId="91" applyNumberFormat="1" applyFont="1" applyAlignment="1">
      <alignment horizontal="center"/>
    </xf>
    <xf numFmtId="37" fontId="53" fillId="0" borderId="0" xfId="91" applyNumberFormat="1" applyFont="1"/>
    <xf numFmtId="0" fontId="53" fillId="0" borderId="0" xfId="91" applyFont="1"/>
    <xf numFmtId="173" fontId="1" fillId="0" borderId="61" xfId="91" applyNumberFormat="1" applyFont="1" applyBorder="1"/>
    <xf numFmtId="173" fontId="1" fillId="0" borderId="57" xfId="91" applyNumberFormat="1" applyFont="1" applyBorder="1"/>
    <xf numFmtId="173" fontId="1" fillId="0" borderId="56" xfId="91" applyNumberFormat="1" applyFont="1" applyBorder="1" applyAlignment="1">
      <alignment horizontal="center"/>
    </xf>
    <xf numFmtId="173" fontId="1" fillId="0" borderId="61" xfId="91" applyNumberFormat="1" applyFont="1" applyBorder="1" applyAlignment="1">
      <alignment horizontal="center"/>
    </xf>
    <xf numFmtId="173" fontId="1" fillId="0" borderId="57" xfId="91" applyNumberFormat="1" applyFont="1" applyBorder="1" applyAlignment="1">
      <alignment horizontal="center"/>
    </xf>
    <xf numFmtId="180" fontId="1" fillId="0" borderId="0" xfId="91" applyNumberFormat="1" applyFont="1" applyAlignment="1">
      <alignment horizontal="left"/>
    </xf>
    <xf numFmtId="182" fontId="1" fillId="39" borderId="0" xfId="74" applyNumberFormat="1" applyFill="1"/>
    <xf numFmtId="37" fontId="56" fillId="54" borderId="0" xfId="91" applyNumberFormat="1" applyFont="1" applyFill="1"/>
    <xf numFmtId="165" fontId="60" fillId="0" borderId="53" xfId="92" applyFont="1" applyBorder="1" applyAlignment="1">
      <alignment horizontal="left"/>
    </xf>
    <xf numFmtId="165" fontId="60" fillId="0" borderId="60" xfId="92" applyFont="1" applyBorder="1" applyAlignment="1">
      <alignment horizontal="left"/>
    </xf>
    <xf numFmtId="165" fontId="60" fillId="0" borderId="54" xfId="92" applyFont="1" applyBorder="1" applyAlignment="1">
      <alignment horizontal="center"/>
    </xf>
    <xf numFmtId="165" fontId="57" fillId="0" borderId="39" xfId="91" applyNumberFormat="1" applyFont="1" applyBorder="1" applyAlignment="1">
      <alignment horizontal="center"/>
    </xf>
    <xf numFmtId="165" fontId="60" fillId="0" borderId="38" xfId="92" applyFont="1" applyBorder="1" applyAlignment="1">
      <alignment horizontal="center"/>
    </xf>
    <xf numFmtId="165" fontId="60" fillId="0" borderId="39" xfId="92" applyFont="1" applyBorder="1" applyAlignment="1">
      <alignment horizontal="center"/>
    </xf>
    <xf numFmtId="165" fontId="56" fillId="0" borderId="0" xfId="91" applyNumberFormat="1" applyFont="1"/>
    <xf numFmtId="165" fontId="60" fillId="0" borderId="53" xfId="92" applyFont="1" applyBorder="1" applyAlignment="1">
      <alignment horizontal="center"/>
    </xf>
    <xf numFmtId="165" fontId="60" fillId="0" borderId="60" xfId="92" applyFont="1" applyBorder="1" applyAlignment="1">
      <alignment horizontal="center"/>
    </xf>
    <xf numFmtId="165" fontId="60" fillId="0" borderId="55" xfId="92" applyFont="1" applyBorder="1" applyAlignment="1">
      <alignment horizontal="left"/>
    </xf>
    <xf numFmtId="165" fontId="60" fillId="0" borderId="0" xfId="92" applyFont="1" applyAlignment="1">
      <alignment horizontal="left"/>
    </xf>
    <xf numFmtId="165" fontId="60" fillId="0" borderId="42" xfId="92" applyFont="1" applyBorder="1" applyAlignment="1">
      <alignment horizontal="center"/>
    </xf>
    <xf numFmtId="165" fontId="60" fillId="0" borderId="55" xfId="92" applyFont="1" applyBorder="1" applyAlignment="1">
      <alignment horizontal="center"/>
    </xf>
    <xf numFmtId="165" fontId="60" fillId="0" borderId="0" xfId="92" applyFont="1" applyAlignment="1">
      <alignment horizontal="center"/>
    </xf>
    <xf numFmtId="165" fontId="56" fillId="0" borderId="0" xfId="91" applyNumberFormat="1" applyFont="1" applyAlignment="1">
      <alignment horizontal="center"/>
    </xf>
    <xf numFmtId="165" fontId="60" fillId="0" borderId="56" xfId="92" quotePrefix="1" applyFont="1" applyBorder="1" applyAlignment="1">
      <alignment horizontal="center"/>
    </xf>
    <xf numFmtId="165" fontId="60" fillId="0" borderId="61" xfId="92" quotePrefix="1" applyFont="1" applyBorder="1" applyAlignment="1">
      <alignment horizontal="center"/>
    </xf>
    <xf numFmtId="165" fontId="60" fillId="0" borderId="57" xfId="92" quotePrefix="1" applyFont="1" applyBorder="1" applyAlignment="1">
      <alignment horizontal="center"/>
    </xf>
    <xf numFmtId="165" fontId="57" fillId="0" borderId="39" xfId="91" applyNumberFormat="1" applyFont="1" applyBorder="1"/>
    <xf numFmtId="165" fontId="60" fillId="0" borderId="39" xfId="92" quotePrefix="1" applyFont="1" applyBorder="1" applyAlignment="1">
      <alignment horizontal="center"/>
    </xf>
    <xf numFmtId="174" fontId="60" fillId="0" borderId="57" xfId="92" quotePrefix="1" applyNumberFormat="1" applyFont="1" applyBorder="1" applyAlignment="1">
      <alignment horizontal="center"/>
    </xf>
    <xf numFmtId="165" fontId="61" fillId="0" borderId="0" xfId="92" applyFont="1" applyAlignment="1">
      <alignment horizontal="center"/>
    </xf>
    <xf numFmtId="183" fontId="1" fillId="0" borderId="0" xfId="91" applyNumberFormat="1" applyFont="1"/>
    <xf numFmtId="165" fontId="1" fillId="0" borderId="39" xfId="91" applyNumberFormat="1" applyFont="1" applyBorder="1"/>
    <xf numFmtId="165" fontId="55" fillId="0" borderId="39" xfId="92" applyFont="1" applyBorder="1" applyAlignment="1">
      <alignment horizontal="center"/>
    </xf>
    <xf numFmtId="0" fontId="57" fillId="0" borderId="0" xfId="91" applyFont="1"/>
    <xf numFmtId="37" fontId="57" fillId="54" borderId="0" xfId="91" applyNumberFormat="1" applyFont="1" applyFill="1"/>
    <xf numFmtId="173" fontId="57" fillId="64" borderId="55" xfId="91" applyNumberFormat="1" applyFont="1" applyFill="1" applyBorder="1"/>
    <xf numFmtId="173" fontId="57" fillId="64" borderId="0" xfId="91" applyNumberFormat="1" applyFont="1" applyFill="1"/>
    <xf numFmtId="173" fontId="57" fillId="64" borderId="42" xfId="91" applyNumberFormat="1" applyFont="1" applyFill="1" applyBorder="1"/>
    <xf numFmtId="173" fontId="57" fillId="0" borderId="39" xfId="91" applyNumberFormat="1" applyFont="1" applyBorder="1" applyAlignment="1">
      <alignment horizontal="center"/>
    </xf>
    <xf numFmtId="173" fontId="57" fillId="47" borderId="0" xfId="91" applyNumberFormat="1" applyFont="1" applyFill="1"/>
    <xf numFmtId="173" fontId="57" fillId="47" borderId="39" xfId="91" applyNumberFormat="1" applyFont="1" applyFill="1" applyBorder="1"/>
    <xf numFmtId="173" fontId="57" fillId="47" borderId="42" xfId="91" applyNumberFormat="1" applyFont="1" applyFill="1" applyBorder="1"/>
    <xf numFmtId="173" fontId="62" fillId="0" borderId="0" xfId="91" applyNumberFormat="1" applyFont="1"/>
    <xf numFmtId="173" fontId="57" fillId="0" borderId="55" xfId="91" applyNumberFormat="1" applyFont="1" applyBorder="1" applyAlignment="1">
      <alignment horizontal="center"/>
    </xf>
    <xf numFmtId="173" fontId="57" fillId="0" borderId="0" xfId="91" applyNumberFormat="1" applyFont="1" applyAlignment="1">
      <alignment horizontal="center"/>
    </xf>
    <xf numFmtId="173" fontId="57" fillId="0" borderId="42" xfId="91" applyNumberFormat="1" applyFont="1" applyBorder="1" applyAlignment="1">
      <alignment horizontal="center"/>
    </xf>
    <xf numFmtId="181" fontId="57" fillId="0" borderId="0" xfId="91" applyNumberFormat="1" applyFont="1" applyAlignment="1">
      <alignment horizontal="center"/>
    </xf>
    <xf numFmtId="173" fontId="57" fillId="47" borderId="55" xfId="91" applyNumberFormat="1" applyFont="1" applyFill="1" applyBorder="1"/>
    <xf numFmtId="173" fontId="57" fillId="0" borderId="0" xfId="91" applyNumberFormat="1" applyFont="1"/>
    <xf numFmtId="173" fontId="57" fillId="0" borderId="39" xfId="91" applyNumberFormat="1" applyFont="1" applyBorder="1"/>
    <xf numFmtId="173" fontId="57" fillId="0" borderId="42" xfId="91" applyNumberFormat="1" applyFont="1" applyBorder="1"/>
    <xf numFmtId="173" fontId="63" fillId="0" borderId="55" xfId="91" applyNumberFormat="1" applyFont="1" applyBorder="1"/>
    <xf numFmtId="173" fontId="63" fillId="0" borderId="0" xfId="91" applyNumberFormat="1" applyFont="1"/>
    <xf numFmtId="173" fontId="63" fillId="0" borderId="42" xfId="91" applyNumberFormat="1" applyFont="1" applyBorder="1"/>
    <xf numFmtId="173" fontId="63" fillId="0" borderId="39" xfId="91" applyNumberFormat="1" applyFont="1" applyBorder="1"/>
    <xf numFmtId="0" fontId="11" fillId="56" borderId="65" xfId="135" quotePrefix="1" applyFont="1" applyFill="1" applyBorder="1" applyAlignment="1" applyProtection="1">
      <alignment vertical="center"/>
      <protection locked="0"/>
    </xf>
    <xf numFmtId="175" fontId="11" fillId="56" borderId="55" xfId="74" quotePrefix="1" applyNumberFormat="1" applyFont="1" applyFill="1" applyBorder="1" applyAlignment="1" applyProtection="1">
      <alignment vertical="center"/>
      <protection locked="0"/>
    </xf>
    <xf numFmtId="175" fontId="11" fillId="56" borderId="0" xfId="74" quotePrefix="1" applyNumberFormat="1" applyFont="1" applyFill="1" applyAlignment="1" applyProtection="1">
      <alignment vertical="center"/>
      <protection locked="0"/>
    </xf>
    <xf numFmtId="173" fontId="1" fillId="0" borderId="0" xfId="0" applyNumberFormat="1" applyFont="1"/>
    <xf numFmtId="175" fontId="11" fillId="56" borderId="39" xfId="74" quotePrefix="1" applyNumberFormat="1" applyFont="1" applyFill="1" applyBorder="1" applyAlignment="1" applyProtection="1">
      <alignment vertical="center"/>
      <protection locked="0"/>
    </xf>
    <xf numFmtId="173" fontId="56" fillId="0" borderId="0" xfId="91" applyNumberFormat="1" applyFont="1" applyAlignment="1">
      <alignment horizontal="right"/>
    </xf>
    <xf numFmtId="173" fontId="56" fillId="0" borderId="39" xfId="91" applyNumberFormat="1" applyFont="1" applyBorder="1" applyAlignment="1">
      <alignment horizontal="right"/>
    </xf>
    <xf numFmtId="173" fontId="63" fillId="0" borderId="0" xfId="91" applyNumberFormat="1" applyFont="1" applyAlignment="1">
      <alignment horizontal="right"/>
    </xf>
    <xf numFmtId="173" fontId="63" fillId="0" borderId="55" xfId="91" applyNumberFormat="1" applyFont="1" applyBorder="1" applyAlignment="1">
      <alignment horizontal="right"/>
    </xf>
    <xf numFmtId="173" fontId="63" fillId="0" borderId="42" xfId="91" applyNumberFormat="1" applyFont="1" applyBorder="1" applyAlignment="1">
      <alignment horizontal="right"/>
    </xf>
    <xf numFmtId="173" fontId="63" fillId="0" borderId="39" xfId="91" applyNumberFormat="1" applyFont="1" applyBorder="1" applyAlignment="1">
      <alignment horizontal="right"/>
    </xf>
    <xf numFmtId="0" fontId="57" fillId="54" borderId="0" xfId="91" applyFont="1" applyFill="1"/>
    <xf numFmtId="173" fontId="57" fillId="0" borderId="39" xfId="91" applyNumberFormat="1" applyFont="1" applyBorder="1" applyAlignment="1">
      <alignment horizontal="right"/>
    </xf>
    <xf numFmtId="173" fontId="62" fillId="0" borderId="0" xfId="91" applyNumberFormat="1" applyFont="1" applyAlignment="1">
      <alignment horizontal="right"/>
    </xf>
    <xf numFmtId="0" fontId="12" fillId="0" borderId="0" xfId="91" applyFont="1" applyAlignment="1">
      <alignment horizontal="center"/>
    </xf>
    <xf numFmtId="173" fontId="54" fillId="0" borderId="55" xfId="91" applyNumberFormat="1" applyFont="1" applyBorder="1" applyAlignment="1">
      <alignment horizontal="right"/>
    </xf>
    <xf numFmtId="173" fontId="54" fillId="0" borderId="0" xfId="91" applyNumberFormat="1" applyFont="1" applyAlignment="1">
      <alignment horizontal="right"/>
    </xf>
    <xf numFmtId="173" fontId="12" fillId="0" borderId="39" xfId="91" applyNumberFormat="1" applyFont="1" applyBorder="1" applyAlignment="1">
      <alignment horizontal="right"/>
    </xf>
    <xf numFmtId="173" fontId="1" fillId="0" borderId="39" xfId="91" applyNumberFormat="1" applyFont="1" applyBorder="1" applyAlignment="1">
      <alignment horizontal="right"/>
    </xf>
    <xf numFmtId="173" fontId="64" fillId="0" borderId="0" xfId="91" applyNumberFormat="1" applyFont="1" applyAlignment="1">
      <alignment horizontal="right"/>
    </xf>
    <xf numFmtId="173" fontId="1" fillId="47" borderId="39" xfId="91" applyNumberFormat="1" applyFont="1" applyFill="1" applyBorder="1" applyAlignment="1">
      <alignment horizontal="right"/>
    </xf>
    <xf numFmtId="173" fontId="65" fillId="47" borderId="42" xfId="91" applyNumberFormat="1" applyFont="1" applyFill="1" applyBorder="1"/>
    <xf numFmtId="173" fontId="64" fillId="0" borderId="55" xfId="91" applyNumberFormat="1" applyFont="1" applyBorder="1" applyAlignment="1">
      <alignment horizontal="right"/>
    </xf>
    <xf numFmtId="173" fontId="1" fillId="0" borderId="42" xfId="99" applyNumberFormat="1" applyBorder="1" applyAlignment="1">
      <alignment horizontal="right"/>
    </xf>
    <xf numFmtId="173" fontId="1" fillId="0" borderId="39" xfId="99" applyNumberFormat="1" applyBorder="1" applyAlignment="1">
      <alignment horizontal="right"/>
    </xf>
    <xf numFmtId="173" fontId="64" fillId="47" borderId="55" xfId="91" applyNumberFormat="1" applyFont="1" applyFill="1" applyBorder="1" applyAlignment="1">
      <alignment horizontal="right"/>
    </xf>
    <xf numFmtId="173" fontId="64" fillId="47" borderId="0" xfId="91" applyNumberFormat="1" applyFont="1" applyFill="1" applyAlignment="1">
      <alignment horizontal="right"/>
    </xf>
    <xf numFmtId="173" fontId="1" fillId="47" borderId="42" xfId="99" applyNumberFormat="1" applyFill="1" applyBorder="1" applyAlignment="1">
      <alignment horizontal="right"/>
    </xf>
    <xf numFmtId="171" fontId="1" fillId="0" borderId="0" xfId="99" applyNumberFormat="1" applyAlignment="1">
      <alignment horizontal="right"/>
    </xf>
    <xf numFmtId="171" fontId="1" fillId="0" borderId="42" xfId="99" applyNumberFormat="1" applyBorder="1" applyAlignment="1">
      <alignment horizontal="right"/>
    </xf>
    <xf numFmtId="171" fontId="1" fillId="0" borderId="39" xfId="99" applyNumberFormat="1" applyBorder="1" applyAlignment="1">
      <alignment horizontal="right"/>
    </xf>
    <xf numFmtId="171" fontId="58" fillId="0" borderId="42" xfId="99" applyNumberFormat="1" applyFont="1" applyBorder="1" applyAlignment="1">
      <alignment horizontal="right"/>
    </xf>
    <xf numFmtId="173" fontId="64" fillId="0" borderId="42" xfId="91" applyNumberFormat="1" applyFont="1" applyBorder="1" applyAlignment="1">
      <alignment horizontal="right"/>
    </xf>
    <xf numFmtId="173" fontId="64" fillId="0" borderId="39" xfId="91" applyNumberFormat="1" applyFont="1" applyBorder="1" applyAlignment="1">
      <alignment horizontal="right"/>
    </xf>
    <xf numFmtId="173" fontId="63" fillId="0" borderId="62" xfId="91" applyNumberFormat="1" applyFont="1" applyBorder="1" applyAlignment="1">
      <alignment horizontal="right"/>
    </xf>
    <xf numFmtId="173" fontId="63" fillId="0" borderId="63" xfId="91" applyNumberFormat="1" applyFont="1" applyBorder="1" applyAlignment="1">
      <alignment horizontal="right"/>
    </xf>
    <xf numFmtId="173" fontId="63" fillId="0" borderId="64" xfId="91" applyNumberFormat="1" applyFont="1" applyBorder="1" applyAlignment="1">
      <alignment horizontal="right"/>
    </xf>
    <xf numFmtId="173" fontId="56" fillId="0" borderId="64" xfId="91" applyNumberFormat="1" applyFont="1" applyBorder="1" applyAlignment="1">
      <alignment horizontal="right"/>
    </xf>
    <xf numFmtId="173" fontId="56" fillId="0" borderId="62" xfId="91" applyNumberFormat="1" applyFont="1" applyBorder="1" applyAlignment="1">
      <alignment horizontal="right"/>
    </xf>
    <xf numFmtId="173" fontId="56" fillId="0" borderId="63" xfId="91" applyNumberFormat="1" applyFont="1" applyBorder="1" applyAlignment="1">
      <alignment horizontal="right"/>
    </xf>
    <xf numFmtId="173" fontId="53" fillId="0" borderId="39" xfId="91" applyNumberFormat="1" applyFont="1" applyBorder="1" applyAlignment="1">
      <alignment horizontal="right"/>
    </xf>
    <xf numFmtId="173" fontId="66" fillId="0" borderId="0" xfId="91" applyNumberFormat="1" applyFont="1" applyAlignment="1">
      <alignment horizontal="right"/>
    </xf>
    <xf numFmtId="173" fontId="64" fillId="0" borderId="56" xfId="91" applyNumberFormat="1" applyFont="1" applyBorder="1"/>
    <xf numFmtId="173" fontId="64" fillId="0" borderId="61" xfId="91" applyNumberFormat="1" applyFont="1" applyBorder="1"/>
    <xf numFmtId="173" fontId="64" fillId="0" borderId="57" xfId="91" applyNumberFormat="1" applyFont="1" applyBorder="1"/>
    <xf numFmtId="173" fontId="12" fillId="0" borderId="39" xfId="91" applyNumberFormat="1" applyFont="1" applyBorder="1" applyAlignment="1">
      <alignment horizontal="center"/>
    </xf>
    <xf numFmtId="173" fontId="1" fillId="0" borderId="39" xfId="91" applyNumberFormat="1" applyFont="1" applyBorder="1"/>
    <xf numFmtId="173" fontId="64" fillId="0" borderId="0" xfId="91" applyNumberFormat="1" applyFont="1"/>
    <xf numFmtId="171" fontId="1" fillId="0" borderId="0" xfId="99" applyNumberFormat="1"/>
    <xf numFmtId="171" fontId="1" fillId="0" borderId="0" xfId="91" applyNumberFormat="1" applyFont="1" applyAlignment="1">
      <alignment horizontal="right"/>
    </xf>
    <xf numFmtId="0" fontId="12" fillId="0" borderId="0" xfId="91" applyFont="1"/>
    <xf numFmtId="0" fontId="1" fillId="0" borderId="55" xfId="91" applyFont="1" applyBorder="1"/>
    <xf numFmtId="0" fontId="1" fillId="0" borderId="0" xfId="91" quotePrefix="1" applyFont="1"/>
    <xf numFmtId="0" fontId="1" fillId="64" borderId="0" xfId="91" applyFont="1" applyFill="1"/>
    <xf numFmtId="0" fontId="1" fillId="65" borderId="0" xfId="91" applyFont="1" applyFill="1"/>
    <xf numFmtId="0" fontId="1" fillId="66" borderId="0" xfId="91" applyFont="1" applyFill="1"/>
    <xf numFmtId="0" fontId="1" fillId="67" borderId="0" xfId="91" applyFont="1" applyFill="1"/>
    <xf numFmtId="0" fontId="1" fillId="68" borderId="0" xfId="91" applyFont="1" applyFill="1"/>
    <xf numFmtId="0" fontId="11" fillId="69" borderId="0" xfId="181" applyFont="1" applyFill="1"/>
    <xf numFmtId="0" fontId="11" fillId="69" borderId="0" xfId="0" applyFont="1" applyFill="1"/>
    <xf numFmtId="0" fontId="52" fillId="0" borderId="0" xfId="181" applyFont="1"/>
    <xf numFmtId="0" fontId="1" fillId="0" borderId="0" xfId="181"/>
    <xf numFmtId="0" fontId="59" fillId="0" borderId="0" xfId="181" applyFont="1"/>
    <xf numFmtId="17" fontId="1" fillId="0" borderId="0" xfId="181" applyNumberFormat="1"/>
    <xf numFmtId="0" fontId="67" fillId="0" borderId="0" xfId="181" applyFont="1"/>
    <xf numFmtId="0" fontId="68" fillId="0" borderId="0" xfId="181" applyFont="1"/>
    <xf numFmtId="0" fontId="57" fillId="0" borderId="69" xfId="181" applyFont="1" applyBorder="1" applyAlignment="1">
      <alignment horizontal="center" wrapText="1"/>
    </xf>
    <xf numFmtId="0" fontId="1" fillId="0" borderId="0" xfId="181" applyAlignment="1">
      <alignment wrapText="1"/>
    </xf>
    <xf numFmtId="0" fontId="12" fillId="0" borderId="0" xfId="181" applyFont="1"/>
    <xf numFmtId="184" fontId="11" fillId="69" borderId="0" xfId="0" applyNumberFormat="1" applyFont="1" applyFill="1"/>
    <xf numFmtId="0" fontId="11" fillId="70" borderId="0" xfId="181" applyFont="1" applyFill="1"/>
    <xf numFmtId="172" fontId="1" fillId="0" borderId="0" xfId="182" applyNumberFormat="1"/>
    <xf numFmtId="179" fontId="1" fillId="0" borderId="0" xfId="182" applyNumberFormat="1"/>
    <xf numFmtId="176" fontId="1" fillId="0" borderId="0" xfId="182" applyNumberFormat="1"/>
    <xf numFmtId="176" fontId="59" fillId="0" borderId="0" xfId="182" applyNumberFormat="1" applyFont="1"/>
    <xf numFmtId="184" fontId="15" fillId="69" borderId="0" xfId="0" applyNumberFormat="1" applyFont="1" applyFill="1"/>
    <xf numFmtId="0" fontId="15" fillId="70" borderId="0" xfId="181" applyFont="1" applyFill="1"/>
    <xf numFmtId="0" fontId="15" fillId="69" borderId="0" xfId="0" applyFont="1" applyFill="1"/>
    <xf numFmtId="172" fontId="12" fillId="0" borderId="26" xfId="182" applyNumberFormat="1" applyFont="1" applyBorder="1"/>
    <xf numFmtId="176" fontId="12" fillId="0" borderId="0" xfId="182" applyNumberFormat="1" applyFont="1"/>
    <xf numFmtId="3" fontId="12" fillId="0" borderId="26" xfId="182" applyNumberFormat="1" applyFont="1" applyBorder="1"/>
    <xf numFmtId="179" fontId="12" fillId="0" borderId="26" xfId="182" applyNumberFormat="1" applyFont="1" applyBorder="1"/>
    <xf numFmtId="176" fontId="69" fillId="0" borderId="0" xfId="182" applyNumberFormat="1" applyFont="1"/>
    <xf numFmtId="0" fontId="15" fillId="69" borderId="0" xfId="181" applyFont="1" applyFill="1"/>
    <xf numFmtId="172" fontId="12" fillId="0" borderId="0" xfId="182" applyNumberFormat="1" applyFont="1"/>
    <xf numFmtId="179" fontId="12" fillId="0" borderId="0" xfId="182" applyNumberFormat="1" applyFont="1"/>
    <xf numFmtId="172" fontId="64" fillId="0" borderId="0" xfId="182" applyNumberFormat="1" applyFont="1"/>
    <xf numFmtId="179" fontId="64" fillId="0" borderId="0" xfId="182" applyNumberFormat="1" applyFont="1"/>
    <xf numFmtId="9" fontId="1" fillId="0" borderId="0" xfId="99"/>
    <xf numFmtId="3" fontId="1" fillId="0" borderId="0" xfId="182" applyNumberFormat="1"/>
    <xf numFmtId="172" fontId="0" fillId="0" borderId="0" xfId="0" applyNumberFormat="1"/>
    <xf numFmtId="0" fontId="70" fillId="0" borderId="0" xfId="0" applyFont="1"/>
    <xf numFmtId="0" fontId="11" fillId="0" borderId="0" xfId="181" applyFont="1"/>
    <xf numFmtId="176" fontId="1" fillId="0" borderId="0" xfId="181" applyNumberFormat="1"/>
    <xf numFmtId="0" fontId="41" fillId="63" borderId="0" xfId="180" applyFont="1" applyFill="1" applyAlignment="1">
      <alignment horizontal="center" wrapText="1"/>
    </xf>
    <xf numFmtId="176" fontId="41" fillId="63" borderId="0" xfId="74" applyNumberFormat="1" applyFont="1" applyFill="1" applyAlignment="1">
      <alignment horizontal="center" wrapText="1"/>
    </xf>
    <xf numFmtId="0" fontId="0" fillId="0" borderId="70" xfId="0" applyBorder="1" applyAlignment="1">
      <alignment horizontal="left"/>
    </xf>
    <xf numFmtId="177" fontId="17" fillId="58" borderId="0" xfId="180" applyNumberFormat="1" applyFont="1" applyFill="1"/>
    <xf numFmtId="175" fontId="17" fillId="0" borderId="36" xfId="74" applyNumberFormat="1" applyFont="1" applyBorder="1"/>
    <xf numFmtId="177" fontId="17" fillId="60" borderId="0" xfId="180" applyNumberFormat="1" applyFont="1" applyFill="1"/>
    <xf numFmtId="164" fontId="41" fillId="71" borderId="0" xfId="74" applyFont="1" applyFill="1" applyAlignment="1">
      <alignment horizontal="center"/>
    </xf>
    <xf numFmtId="0" fontId="41" fillId="71" borderId="0" xfId="183" applyFont="1" applyFill="1" applyAlignment="1">
      <alignment horizontal="center"/>
    </xf>
    <xf numFmtId="164" fontId="17" fillId="0" borderId="0" xfId="74" applyFont="1"/>
    <xf numFmtId="171" fontId="17" fillId="0" borderId="0" xfId="183" applyNumberFormat="1" applyFont="1"/>
    <xf numFmtId="164" fontId="26" fillId="0" borderId="0" xfId="74" applyFont="1"/>
    <xf numFmtId="171" fontId="26" fillId="0" borderId="0" xfId="183" applyNumberFormat="1" applyFont="1"/>
    <xf numFmtId="0" fontId="17" fillId="60" borderId="0" xfId="180" applyFont="1" applyFill="1"/>
    <xf numFmtId="0" fontId="17" fillId="58" borderId="0" xfId="180" applyFont="1" applyFill="1"/>
    <xf numFmtId="168" fontId="9" fillId="62" borderId="0" xfId="171" applyNumberFormat="1" applyFont="1" applyFill="1" applyAlignment="1" applyProtection="1">
      <alignment horizontal="left" vertical="center" wrapText="1"/>
    </xf>
    <xf numFmtId="0" fontId="55" fillId="73" borderId="14" xfId="0" applyFont="1" applyFill="1" applyBorder="1"/>
    <xf numFmtId="49" fontId="55" fillId="74" borderId="59" xfId="0" applyNumberFormat="1" applyFont="1" applyFill="1" applyBorder="1"/>
    <xf numFmtId="49" fontId="55" fillId="70" borderId="59" xfId="0" applyNumberFormat="1" applyFont="1" applyFill="1" applyBorder="1"/>
    <xf numFmtId="4" fontId="55" fillId="74" borderId="59" xfId="0" applyNumberFormat="1" applyFont="1" applyFill="1" applyBorder="1"/>
    <xf numFmtId="49" fontId="55" fillId="74" borderId="14" xfId="0" applyNumberFormat="1" applyFont="1" applyFill="1" applyBorder="1"/>
    <xf numFmtId="49" fontId="55" fillId="70" borderId="14" xfId="0" applyNumberFormat="1" applyFont="1" applyFill="1" applyBorder="1"/>
    <xf numFmtId="4" fontId="55" fillId="74" borderId="14" xfId="0" applyNumberFormat="1" applyFont="1" applyFill="1" applyBorder="1"/>
    <xf numFmtId="49" fontId="55" fillId="39" borderId="14" xfId="0" applyNumberFormat="1" applyFont="1" applyFill="1" applyBorder="1"/>
    <xf numFmtId="4" fontId="55" fillId="39" borderId="14" xfId="0" applyNumberFormat="1" applyFont="1" applyFill="1" applyBorder="1"/>
    <xf numFmtId="0" fontId="55" fillId="74" borderId="14" xfId="0" applyFont="1" applyFill="1" applyBorder="1"/>
    <xf numFmtId="0" fontId="55" fillId="39" borderId="14" xfId="0" applyFont="1" applyFill="1" applyBorder="1"/>
    <xf numFmtId="14" fontId="0" fillId="0" borderId="0" xfId="0" applyNumberFormat="1"/>
    <xf numFmtId="49" fontId="55" fillId="58" borderId="0" xfId="0" applyNumberFormat="1" applyFont="1" applyFill="1"/>
    <xf numFmtId="4" fontId="0" fillId="58" borderId="0" xfId="0" applyNumberFormat="1" applyFill="1"/>
    <xf numFmtId="0" fontId="0" fillId="0" borderId="76" xfId="0" pivotButton="1" applyBorder="1"/>
    <xf numFmtId="164" fontId="0" fillId="69" borderId="0" xfId="74" applyFont="1" applyFill="1"/>
    <xf numFmtId="164" fontId="0" fillId="0" borderId="83" xfId="0" applyNumberFormat="1" applyBorder="1"/>
    <xf numFmtId="164" fontId="0" fillId="0" borderId="82" xfId="0" applyNumberFormat="1" applyBorder="1"/>
    <xf numFmtId="164" fontId="0" fillId="0" borderId="81" xfId="0" applyNumberFormat="1" applyBorder="1"/>
    <xf numFmtId="0" fontId="0" fillId="0" borderId="81" xfId="0" applyBorder="1"/>
    <xf numFmtId="164" fontId="0" fillId="60" borderId="0" xfId="0" applyNumberFormat="1" applyFill="1"/>
    <xf numFmtId="164" fontId="0" fillId="60" borderId="48" xfId="0" applyNumberFormat="1" applyFill="1" applyBorder="1"/>
    <xf numFmtId="0" fontId="0" fillId="60" borderId="48" xfId="0" applyFill="1" applyBorder="1"/>
    <xf numFmtId="164" fontId="0" fillId="60" borderId="80" xfId="0" applyNumberFormat="1" applyFill="1" applyBorder="1"/>
    <xf numFmtId="164" fontId="0" fillId="60" borderId="79" xfId="0" applyNumberFormat="1" applyFill="1" applyBorder="1"/>
    <xf numFmtId="0" fontId="11" fillId="6" borderId="6" xfId="107" quotePrefix="1" applyNumberFormat="1">
      <alignment horizontal="left" vertical="center" indent="1"/>
    </xf>
    <xf numFmtId="0" fontId="11" fillId="6" borderId="6" xfId="160" quotePrefix="1" applyNumberFormat="1">
      <alignment horizontal="left" vertical="center" indent="1"/>
    </xf>
    <xf numFmtId="0" fontId="11" fillId="39" borderId="6" xfId="104" quotePrefix="1" applyNumberFormat="1">
      <alignment horizontal="left" vertical="center" indent="1"/>
    </xf>
    <xf numFmtId="185" fontId="11" fillId="36" borderId="6" xfId="101" applyNumberFormat="1">
      <alignment vertical="center"/>
    </xf>
    <xf numFmtId="0" fontId="11" fillId="31" borderId="6" xfId="124" quotePrefix="1">
      <alignment horizontal="left" vertical="center" indent="1"/>
    </xf>
    <xf numFmtId="0" fontId="11" fillId="46" borderId="6" xfId="130" quotePrefix="1">
      <alignment horizontal="left" vertical="center" indent="1"/>
    </xf>
    <xf numFmtId="185" fontId="11" fillId="0" borderId="6" xfId="157" applyNumberFormat="1">
      <alignment horizontal="right" vertical="center"/>
    </xf>
    <xf numFmtId="0" fontId="17" fillId="31" borderId="13" xfId="154" quotePrefix="1" applyNumberFormat="1">
      <alignment horizontal="left" vertical="center" indent="1"/>
    </xf>
    <xf numFmtId="0" fontId="11" fillId="31" borderId="6" xfId="124" quotePrefix="1" applyAlignment="1">
      <alignment horizontal="left" vertical="center" indent="2"/>
    </xf>
    <xf numFmtId="0" fontId="11" fillId="46" borderId="6" xfId="130" quotePrefix="1" applyAlignment="1">
      <alignment horizontal="left" vertical="center" indent="3"/>
    </xf>
    <xf numFmtId="0" fontId="17" fillId="31" borderId="13" xfId="154" quotePrefix="1" applyNumberFormat="1" applyAlignment="1">
      <alignment horizontal="left" vertical="center" indent="2"/>
    </xf>
    <xf numFmtId="0" fontId="12" fillId="72" borderId="0" xfId="87" applyFont="1" applyFill="1"/>
    <xf numFmtId="0" fontId="11" fillId="43" borderId="13" xfId="125" quotePrefix="1">
      <alignment horizontal="left" vertical="top" indent="1"/>
    </xf>
    <xf numFmtId="0" fontId="11" fillId="44" borderId="13" xfId="131" quotePrefix="1">
      <alignment horizontal="left" vertical="top" indent="1"/>
    </xf>
    <xf numFmtId="0" fontId="11" fillId="44" borderId="13" xfId="131" quotePrefix="1" applyAlignment="1">
      <alignment horizontal="left" vertical="top" wrapText="1" indent="1"/>
    </xf>
    <xf numFmtId="0" fontId="11" fillId="3" borderId="13" xfId="137" quotePrefix="1">
      <alignment horizontal="left" vertical="top" indent="1"/>
    </xf>
    <xf numFmtId="0" fontId="11" fillId="3" borderId="13" xfId="137" quotePrefix="1" applyAlignment="1">
      <alignment horizontal="left" vertical="top" wrapText="1" indent="1"/>
    </xf>
    <xf numFmtId="0" fontId="11" fillId="3" borderId="6" xfId="136" quotePrefix="1">
      <alignment horizontal="left" vertical="center" indent="1"/>
    </xf>
    <xf numFmtId="0" fontId="11" fillId="3" borderId="6" xfId="136" quotePrefix="1" applyAlignment="1">
      <alignment horizontal="left" vertical="center" indent="4"/>
    </xf>
    <xf numFmtId="0" fontId="11" fillId="45" borderId="6" xfId="142" quotePrefix="1">
      <alignment horizontal="left" vertical="center" indent="1"/>
    </xf>
    <xf numFmtId="0" fontId="11" fillId="45" borderId="6" xfId="142" quotePrefix="1" applyAlignment="1">
      <alignment horizontal="left" vertical="center" indent="5"/>
    </xf>
    <xf numFmtId="4" fontId="71" fillId="58" borderId="0" xfId="0" applyNumberFormat="1" applyFont="1" applyFill="1"/>
    <xf numFmtId="49" fontId="71" fillId="58" borderId="0" xfId="0" applyNumberFormat="1" applyFont="1" applyFill="1"/>
    <xf numFmtId="4" fontId="71" fillId="0" borderId="0" xfId="0" applyNumberFormat="1" applyFont="1"/>
    <xf numFmtId="49" fontId="71" fillId="0" borderId="0" xfId="0" applyNumberFormat="1" applyFont="1"/>
    <xf numFmtId="0" fontId="71" fillId="0" borderId="0" xfId="0" applyFont="1" applyAlignment="1">
      <alignment horizontal="left"/>
    </xf>
    <xf numFmtId="15" fontId="71" fillId="0" borderId="0" xfId="0" applyNumberFormat="1" applyFont="1" applyAlignment="1">
      <alignment horizontal="left"/>
    </xf>
    <xf numFmtId="0" fontId="71" fillId="0" borderId="0" xfId="0" applyFont="1"/>
    <xf numFmtId="185" fontId="0" fillId="0" borderId="0" xfId="0" applyNumberFormat="1"/>
    <xf numFmtId="0" fontId="11" fillId="37" borderId="0" xfId="87"/>
    <xf numFmtId="164" fontId="0" fillId="60" borderId="76" xfId="0" applyNumberFormat="1" applyFill="1" applyBorder="1"/>
    <xf numFmtId="0" fontId="0" fillId="60" borderId="76" xfId="0" applyFill="1" applyBorder="1"/>
    <xf numFmtId="0" fontId="0" fillId="0" borderId="80" xfId="0" applyBorder="1"/>
    <xf numFmtId="0" fontId="0" fillId="0" borderId="79" xfId="0" applyBorder="1"/>
    <xf numFmtId="0" fontId="0" fillId="0" borderId="78" xfId="0" applyBorder="1"/>
    <xf numFmtId="0" fontId="0" fillId="0" borderId="77" xfId="0" applyBorder="1"/>
    <xf numFmtId="0" fontId="0" fillId="0" borderId="76" xfId="0" applyBorder="1"/>
    <xf numFmtId="168" fontId="8" fillId="57" borderId="74" xfId="171" applyNumberFormat="1" applyFont="1" applyFill="1" applyBorder="1" applyAlignment="1" applyProtection="1">
      <alignment horizontal="left" vertical="center"/>
    </xf>
    <xf numFmtId="168" fontId="8" fillId="57" borderId="73" xfId="171" applyNumberFormat="1" applyFont="1" applyFill="1" applyBorder="1" applyAlignment="1" applyProtection="1">
      <alignment horizontal="left" vertical="center"/>
    </xf>
    <xf numFmtId="168" fontId="9" fillId="57" borderId="73" xfId="171" applyNumberFormat="1" applyFont="1" applyFill="1" applyBorder="1" applyAlignment="1" applyProtection="1">
      <alignment horizontal="left" vertical="center"/>
    </xf>
    <xf numFmtId="168" fontId="9" fillId="57" borderId="72" xfId="171" applyNumberFormat="1" applyFont="1" applyFill="1" applyBorder="1" applyAlignment="1" applyProtection="1">
      <alignment horizontal="left" vertical="center"/>
    </xf>
    <xf numFmtId="164" fontId="0" fillId="60" borderId="49" xfId="0" applyNumberFormat="1" applyFill="1" applyBorder="1"/>
    <xf numFmtId="0" fontId="11" fillId="0" borderId="6" xfId="157" applyNumberFormat="1">
      <alignment horizontal="right" vertical="center"/>
    </xf>
    <xf numFmtId="172" fontId="2" fillId="47" borderId="71" xfId="74" applyNumberFormat="1" applyFont="1" applyFill="1" applyBorder="1" applyAlignment="1">
      <alignment horizontal="right" vertical="center"/>
    </xf>
    <xf numFmtId="165" fontId="8" fillId="62" borderId="71" xfId="167" applyNumberFormat="1" applyFont="1" applyFill="1" applyBorder="1" applyAlignment="1">
      <alignment horizontal="right" vertical="center"/>
    </xf>
    <xf numFmtId="178" fontId="43" fillId="62" borderId="37" xfId="0" applyNumberFormat="1" applyFont="1" applyFill="1" applyBorder="1"/>
    <xf numFmtId="172" fontId="8" fillId="58" borderId="0" xfId="74" applyNumberFormat="1" applyFont="1" applyFill="1" applyAlignment="1">
      <alignment horizontal="left" vertical="center"/>
    </xf>
    <xf numFmtId="165" fontId="8" fillId="62" borderId="84" xfId="168" applyFont="1" applyFill="1" applyBorder="1" applyProtection="1">
      <alignment horizontal="right" vertical="center"/>
    </xf>
    <xf numFmtId="178" fontId="11" fillId="62" borderId="0" xfId="0" applyNumberFormat="1" applyFont="1" applyFill="1"/>
    <xf numFmtId="165" fontId="2" fillId="62" borderId="85" xfId="167" applyNumberFormat="1" applyFill="1" applyBorder="1" applyAlignment="1">
      <alignment horizontal="center" vertical="center"/>
    </xf>
    <xf numFmtId="165" fontId="8" fillId="62" borderId="75" xfId="167" applyNumberFormat="1" applyFont="1" applyFill="1" applyBorder="1" applyAlignment="1">
      <alignment horizontal="right" vertical="center"/>
    </xf>
    <xf numFmtId="0" fontId="8" fillId="62" borderId="86" xfId="167" applyFont="1" applyFill="1" applyBorder="1" applyAlignment="1">
      <alignment horizontal="right" vertical="center"/>
    </xf>
    <xf numFmtId="165" fontId="8" fillId="62" borderId="24" xfId="168" applyFont="1" applyFill="1" applyBorder="1" applyProtection="1">
      <alignment horizontal="right" vertical="center"/>
    </xf>
    <xf numFmtId="165" fontId="2" fillId="62" borderId="87" xfId="167" applyNumberFormat="1" applyFill="1" applyBorder="1" applyAlignment="1">
      <alignment horizontal="center" vertical="center"/>
    </xf>
    <xf numFmtId="172" fontId="8" fillId="62" borderId="88" xfId="74" applyNumberFormat="1" applyFont="1" applyFill="1" applyBorder="1" applyAlignment="1">
      <alignment horizontal="left" vertical="center"/>
    </xf>
    <xf numFmtId="178" fontId="11" fillId="57" borderId="0" xfId="0" applyNumberFormat="1" applyFont="1" applyFill="1"/>
    <xf numFmtId="164" fontId="11" fillId="62" borderId="0" xfId="74" applyFont="1" applyFill="1"/>
    <xf numFmtId="175" fontId="11" fillId="62" borderId="0" xfId="74" applyNumberFormat="1" applyFont="1" applyFill="1"/>
    <xf numFmtId="172" fontId="47" fillId="47" borderId="0" xfId="74" applyNumberFormat="1" applyFont="1" applyFill="1" applyAlignment="1">
      <alignment horizontal="left" vertical="center"/>
    </xf>
    <xf numFmtId="172" fontId="47" fillId="62" borderId="0" xfId="74" applyNumberFormat="1" applyFont="1" applyFill="1" applyAlignment="1">
      <alignment horizontal="left" vertical="center"/>
    </xf>
    <xf numFmtId="0" fontId="8" fillId="62" borderId="55" xfId="93" applyFont="1" applyFill="1" applyBorder="1" applyProtection="1"/>
    <xf numFmtId="0" fontId="11" fillId="62" borderId="0" xfId="0" applyFont="1" applyFill="1"/>
    <xf numFmtId="178" fontId="11" fillId="62" borderId="0" xfId="0" applyNumberFormat="1" applyFont="1" applyFill="1" applyAlignment="1">
      <alignment horizontal="right"/>
    </xf>
    <xf numFmtId="0" fontId="11" fillId="62" borderId="0" xfId="74" quotePrefix="1" applyNumberFormat="1" applyFont="1" applyFill="1" applyAlignment="1">
      <alignment wrapText="1"/>
    </xf>
    <xf numFmtId="172" fontId="72" fillId="62" borderId="21" xfId="74" applyNumberFormat="1" applyFont="1" applyFill="1" applyBorder="1" applyAlignment="1">
      <alignment horizontal="left" vertical="center"/>
    </xf>
    <xf numFmtId="172" fontId="72" fillId="47" borderId="21" xfId="74" applyNumberFormat="1" applyFont="1" applyFill="1" applyBorder="1" applyAlignment="1">
      <alignment horizontal="left" vertical="center"/>
    </xf>
    <xf numFmtId="0" fontId="8" fillId="62" borderId="0" xfId="93" applyFont="1" applyFill="1">
      <protection locked="0"/>
    </xf>
    <xf numFmtId="168" fontId="74" fillId="62" borderId="0" xfId="171" applyNumberFormat="1" applyFont="1" applyFill="1" applyAlignment="1" applyProtection="1">
      <alignment horizontal="left" vertical="center"/>
    </xf>
    <xf numFmtId="165" fontId="8" fillId="62" borderId="60" xfId="167" applyNumberFormat="1" applyFont="1" applyFill="1" applyBorder="1" applyAlignment="1">
      <alignment horizontal="right" vertical="center"/>
    </xf>
    <xf numFmtId="172" fontId="2" fillId="47" borderId="90" xfId="74" applyNumberFormat="1" applyFont="1" applyFill="1" applyBorder="1" applyAlignment="1">
      <alignment horizontal="right" vertical="center"/>
    </xf>
    <xf numFmtId="0" fontId="8" fillId="47" borderId="91" xfId="167" applyFont="1" applyFill="1" applyBorder="1" applyAlignment="1">
      <alignment horizontal="right" vertical="center"/>
    </xf>
    <xf numFmtId="172" fontId="8" fillId="47" borderId="91" xfId="74" applyNumberFormat="1" applyFont="1" applyFill="1" applyBorder="1" applyAlignment="1">
      <alignment horizontal="right" vertical="center"/>
    </xf>
    <xf numFmtId="165" fontId="2" fillId="62" borderId="48" xfId="167" applyNumberFormat="1" applyFill="1" applyBorder="1" applyAlignment="1">
      <alignment horizontal="center" vertical="center"/>
    </xf>
    <xf numFmtId="172" fontId="2" fillId="47" borderId="92" xfId="74" applyNumberFormat="1" applyFont="1" applyFill="1" applyBorder="1" applyAlignment="1">
      <alignment horizontal="right" vertical="center"/>
    </xf>
    <xf numFmtId="172" fontId="14" fillId="0" borderId="0" xfId="74" applyNumberFormat="1" applyFont="1" applyAlignment="1">
      <alignment horizontal="left" vertical="center"/>
    </xf>
    <xf numFmtId="172" fontId="14" fillId="62" borderId="21" xfId="74" applyNumberFormat="1" applyFont="1" applyFill="1" applyBorder="1" applyAlignment="1">
      <alignment horizontal="left" vertical="center"/>
    </xf>
    <xf numFmtId="0" fontId="75" fillId="0" borderId="0" xfId="0" applyFont="1"/>
    <xf numFmtId="172" fontId="0" fillId="0" borderId="0" xfId="74" applyNumberFormat="1" applyFont="1"/>
    <xf numFmtId="165" fontId="8" fillId="0" borderId="0" xfId="93" applyNumberFormat="1" applyFont="1" applyAlignment="1" applyProtection="1">
      <alignment horizontal="left" wrapText="1"/>
    </xf>
    <xf numFmtId="0" fontId="0" fillId="0" borderId="0" xfId="0" applyAlignment="1">
      <alignment wrapText="1"/>
    </xf>
    <xf numFmtId="165" fontId="10" fillId="0" borderId="0" xfId="93" applyNumberFormat="1" applyFont="1" applyAlignment="1" applyProtection="1">
      <alignment wrapText="1"/>
    </xf>
    <xf numFmtId="0" fontId="75" fillId="62" borderId="0" xfId="0" applyFont="1" applyFill="1"/>
    <xf numFmtId="165" fontId="8" fillId="62" borderId="93" xfId="168" applyFont="1" applyFill="1" applyBorder="1" applyProtection="1">
      <alignment horizontal="right" vertical="center"/>
    </xf>
    <xf numFmtId="168" fontId="76" fillId="62" borderId="0" xfId="171" applyNumberFormat="1" applyFont="1" applyFill="1" applyAlignment="1" applyProtection="1">
      <alignment horizontal="left" vertical="center"/>
    </xf>
    <xf numFmtId="166" fontId="8" fillId="62" borderId="0" xfId="167" applyNumberFormat="1" applyFont="1" applyFill="1" applyAlignment="1">
      <alignment horizontal="left" vertical="center"/>
    </xf>
    <xf numFmtId="165" fontId="9" fillId="57" borderId="86" xfId="93" applyNumberFormat="1" applyFont="1" applyFill="1" applyBorder="1" applyProtection="1"/>
    <xf numFmtId="164" fontId="15" fillId="47" borderId="86" xfId="74" applyFont="1" applyFill="1" applyBorder="1"/>
    <xf numFmtId="0" fontId="47" fillId="62" borderId="0" xfId="167" applyFont="1" applyFill="1" applyAlignment="1">
      <alignment horizontal="left" vertical="center"/>
    </xf>
    <xf numFmtId="165" fontId="9" fillId="57" borderId="38" xfId="93" applyNumberFormat="1" applyFont="1" applyFill="1" applyBorder="1" applyProtection="1"/>
    <xf numFmtId="164" fontId="15" fillId="47" borderId="94" xfId="74" applyFont="1" applyFill="1" applyBorder="1"/>
    <xf numFmtId="187" fontId="11" fillId="62" borderId="0" xfId="0" applyNumberFormat="1" applyFont="1" applyFill="1" applyAlignment="1">
      <alignment horizontal="right"/>
    </xf>
    <xf numFmtId="187" fontId="11" fillId="62" borderId="0" xfId="0" applyNumberFormat="1" applyFont="1" applyFill="1" applyAlignment="1">
      <alignment horizontal="right" indent="1"/>
    </xf>
    <xf numFmtId="168" fontId="72" fillId="0" borderId="0" xfId="171" applyNumberFormat="1" applyFont="1" applyAlignment="1" applyProtection="1">
      <alignment horizontal="left" vertical="center"/>
    </xf>
    <xf numFmtId="166" fontId="8" fillId="0" borderId="0" xfId="171" applyNumberFormat="1" applyFont="1" applyFill="1">
      <alignment vertical="center"/>
      <protection locked="0"/>
    </xf>
    <xf numFmtId="166" fontId="47" fillId="0" borderId="37" xfId="171" applyNumberFormat="1" applyFont="1" applyFill="1" applyBorder="1">
      <alignment vertical="center"/>
      <protection locked="0"/>
    </xf>
    <xf numFmtId="172" fontId="8" fillId="0" borderId="0" xfId="74" applyNumberFormat="1" applyFont="1" applyFill="1" applyAlignment="1">
      <alignment horizontal="left" vertical="center"/>
    </xf>
    <xf numFmtId="168" fontId="8" fillId="0" borderId="0" xfId="171" applyNumberFormat="1" applyFont="1" applyFill="1" applyAlignment="1" applyProtection="1">
      <alignment horizontal="left" vertical="center"/>
    </xf>
    <xf numFmtId="172" fontId="8" fillId="47" borderId="0" xfId="74" applyNumberFormat="1" applyFont="1" applyFill="1" applyBorder="1" applyAlignment="1">
      <alignment horizontal="left" vertical="center"/>
    </xf>
    <xf numFmtId="172" fontId="8" fillId="62" borderId="0" xfId="74" applyNumberFormat="1" applyFont="1" applyFill="1" applyBorder="1" applyAlignment="1">
      <alignment horizontal="left" vertical="center"/>
    </xf>
    <xf numFmtId="168" fontId="8" fillId="0" borderId="0" xfId="171" applyNumberFormat="1" applyFont="1" applyAlignment="1" applyProtection="1">
      <alignment horizontal="center" vertical="center"/>
    </xf>
    <xf numFmtId="168" fontId="8" fillId="62" borderId="0" xfId="171" applyNumberFormat="1" applyFont="1" applyFill="1" applyAlignment="1" applyProtection="1">
      <alignment horizontal="center" vertical="center"/>
    </xf>
    <xf numFmtId="168" fontId="73" fillId="0" borderId="0" xfId="171" applyNumberFormat="1" applyFont="1" applyAlignment="1" applyProtection="1">
      <alignment horizontal="left" vertical="center"/>
    </xf>
    <xf numFmtId="168" fontId="73" fillId="62" borderId="0" xfId="171" applyNumberFormat="1" applyFont="1" applyFill="1" applyAlignment="1" applyProtection="1">
      <alignment horizontal="left" vertical="center"/>
    </xf>
    <xf numFmtId="165" fontId="76" fillId="62" borderId="71" xfId="167" applyNumberFormat="1" applyFont="1" applyFill="1" applyBorder="1" applyAlignment="1">
      <alignment horizontal="right" vertical="center"/>
    </xf>
    <xf numFmtId="172" fontId="77" fillId="47" borderId="71" xfId="74" applyNumberFormat="1" applyFont="1" applyFill="1" applyBorder="1" applyAlignment="1">
      <alignment horizontal="right" vertical="center"/>
    </xf>
    <xf numFmtId="165" fontId="77" fillId="62" borderId="85" xfId="167" applyNumberFormat="1" applyFont="1" applyFill="1" applyBorder="1" applyAlignment="1">
      <alignment horizontal="center" vertical="center"/>
    </xf>
    <xf numFmtId="165" fontId="76" fillId="62" borderId="75" xfId="167" applyNumberFormat="1" applyFont="1" applyFill="1" applyBorder="1" applyAlignment="1">
      <alignment horizontal="right" vertical="center"/>
    </xf>
    <xf numFmtId="0" fontId="76" fillId="62" borderId="86" xfId="167" applyFont="1" applyFill="1" applyBorder="1" applyAlignment="1">
      <alignment horizontal="right" vertical="center"/>
    </xf>
    <xf numFmtId="0" fontId="76" fillId="47" borderId="33" xfId="167" applyFont="1" applyFill="1" applyBorder="1" applyAlignment="1">
      <alignment horizontal="right" vertical="center"/>
    </xf>
    <xf numFmtId="165" fontId="76" fillId="62" borderId="0" xfId="167" applyNumberFormat="1" applyFont="1" applyFill="1">
      <alignment horizontal="right" vertical="center" wrapText="1"/>
    </xf>
    <xf numFmtId="172" fontId="76" fillId="47" borderId="33" xfId="74" applyNumberFormat="1" applyFont="1" applyFill="1" applyBorder="1" applyAlignment="1">
      <alignment horizontal="right" vertical="center"/>
    </xf>
    <xf numFmtId="165" fontId="76" fillId="62" borderId="24" xfId="168" applyFont="1" applyFill="1" applyBorder="1" applyProtection="1">
      <alignment horizontal="right" vertical="center"/>
    </xf>
    <xf numFmtId="166" fontId="9" fillId="62" borderId="0" xfId="171" applyNumberFormat="1" applyFont="1" applyFill="1" applyAlignment="1">
      <alignment horizontal="right" vertical="center"/>
      <protection locked="0"/>
    </xf>
    <xf numFmtId="168" fontId="76" fillId="62" borderId="0" xfId="171" applyNumberFormat="1" applyFont="1" applyFill="1" applyAlignment="1" applyProtection="1">
      <alignment horizontal="center" vertical="center"/>
    </xf>
    <xf numFmtId="172" fontId="76" fillId="47" borderId="0" xfId="7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72" fontId="9" fillId="0" borderId="0" xfId="74" applyNumberFormat="1" applyFont="1" applyFill="1" applyAlignment="1">
      <alignment horizontal="center" vertical="center"/>
    </xf>
    <xf numFmtId="0" fontId="76" fillId="57" borderId="38" xfId="167" applyFont="1" applyFill="1" applyBorder="1" applyAlignment="1">
      <alignment horizontal="right" vertical="center"/>
    </xf>
    <xf numFmtId="0" fontId="76" fillId="62" borderId="0" xfId="167" applyFont="1" applyFill="1" applyAlignment="1">
      <alignment horizontal="right" vertical="center"/>
    </xf>
    <xf numFmtId="0" fontId="76" fillId="62" borderId="38" xfId="167" applyFont="1" applyFill="1" applyBorder="1" applyAlignment="1">
      <alignment horizontal="right" vertical="center"/>
    </xf>
    <xf numFmtId="0" fontId="9" fillId="0" borderId="0" xfId="93" applyFont="1">
      <protection locked="0"/>
    </xf>
    <xf numFmtId="0" fontId="76" fillId="57" borderId="86" xfId="167" applyFont="1" applyFill="1" applyBorder="1" applyAlignment="1">
      <alignment horizontal="right" vertical="center"/>
    </xf>
    <xf numFmtId="0" fontId="12" fillId="57" borderId="86" xfId="0" applyFont="1" applyFill="1" applyBorder="1"/>
    <xf numFmtId="165" fontId="76" fillId="57" borderId="86" xfId="168" applyFont="1" applyFill="1" applyBorder="1" applyProtection="1">
      <alignment horizontal="right" vertical="center"/>
    </xf>
    <xf numFmtId="165" fontId="76" fillId="62" borderId="89" xfId="168" applyFont="1" applyFill="1" applyBorder="1" applyProtection="1">
      <alignment horizontal="right" vertical="center"/>
    </xf>
    <xf numFmtId="165" fontId="76" fillId="62" borderId="86" xfId="168" applyFont="1" applyFill="1" applyBorder="1" applyProtection="1">
      <alignment horizontal="right" vertical="center"/>
    </xf>
    <xf numFmtId="0" fontId="12" fillId="57" borderId="94" xfId="0" applyFont="1" applyFill="1" applyBorder="1"/>
    <xf numFmtId="166" fontId="9" fillId="57" borderId="94" xfId="171" applyNumberFormat="1" applyFont="1" applyFill="1" applyBorder="1" applyAlignment="1">
      <alignment horizontal="right" vertical="center"/>
      <protection locked="0"/>
    </xf>
    <xf numFmtId="166" fontId="9" fillId="62" borderId="86" xfId="171" applyNumberFormat="1" applyFont="1" applyFill="1" applyBorder="1">
      <alignment vertical="center"/>
      <protection locked="0"/>
    </xf>
    <xf numFmtId="166" fontId="9" fillId="62" borderId="94" xfId="171" applyNumberFormat="1" applyFont="1" applyFill="1" applyBorder="1" applyAlignment="1">
      <alignment horizontal="right" vertical="center"/>
      <protection locked="0"/>
    </xf>
    <xf numFmtId="170" fontId="9" fillId="47" borderId="38" xfId="167" applyNumberFormat="1" applyFont="1" applyFill="1" applyBorder="1" applyAlignment="1">
      <alignment horizontal="right" vertical="center"/>
    </xf>
    <xf numFmtId="170" fontId="9" fillId="51" borderId="38" xfId="167" applyNumberFormat="1" applyFont="1" applyFill="1" applyBorder="1" applyAlignment="1">
      <alignment horizontal="right" vertical="center"/>
    </xf>
    <xf numFmtId="170" fontId="9" fillId="51" borderId="86" xfId="167" applyNumberFormat="1" applyFont="1" applyFill="1" applyBorder="1" applyAlignment="1">
      <alignment horizontal="right" vertical="center"/>
    </xf>
    <xf numFmtId="0" fontId="9" fillId="47" borderId="86" xfId="167" applyFont="1" applyFill="1" applyBorder="1" applyAlignment="1">
      <alignment horizontal="right" vertical="center"/>
    </xf>
    <xf numFmtId="0" fontId="9" fillId="51" borderId="86" xfId="167" applyFont="1" applyFill="1" applyBorder="1" applyAlignment="1">
      <alignment horizontal="right" vertical="center"/>
    </xf>
    <xf numFmtId="165" fontId="9" fillId="47" borderId="86" xfId="168" applyFont="1" applyFill="1" applyBorder="1" applyProtection="1">
      <alignment horizontal="right" vertical="center"/>
    </xf>
    <xf numFmtId="165" fontId="9" fillId="51" borderId="86" xfId="168" applyFont="1" applyFill="1" applyBorder="1" applyProtection="1">
      <alignment horizontal="right" vertical="center"/>
    </xf>
    <xf numFmtId="165" fontId="9" fillId="47" borderId="86" xfId="167" applyNumberFormat="1" applyFont="1" applyFill="1" applyBorder="1">
      <alignment horizontal="right" vertical="center" wrapText="1"/>
    </xf>
    <xf numFmtId="165" fontId="9" fillId="51" borderId="86" xfId="167" applyNumberFormat="1" applyFont="1" applyFill="1" applyBorder="1">
      <alignment horizontal="right" vertical="center" wrapText="1"/>
    </xf>
    <xf numFmtId="165" fontId="9" fillId="47" borderId="94" xfId="168" applyFont="1" applyFill="1" applyBorder="1" applyProtection="1">
      <alignment horizontal="right" vertical="center"/>
    </xf>
    <xf numFmtId="0" fontId="9" fillId="51" borderId="0" xfId="93" applyFont="1" applyFill="1">
      <protection locked="0"/>
    </xf>
    <xf numFmtId="165" fontId="9" fillId="51" borderId="94" xfId="168" applyFont="1" applyFill="1" applyBorder="1" applyProtection="1">
      <alignment horizontal="right" vertical="center"/>
    </xf>
    <xf numFmtId="186" fontId="8" fillId="0" borderId="0" xfId="99" applyNumberFormat="1" applyFont="1" applyFill="1" applyAlignment="1">
      <alignment horizontal="right" vertical="center"/>
    </xf>
    <xf numFmtId="172" fontId="8" fillId="47" borderId="0" xfId="74" applyNumberFormat="1" applyFont="1" applyFill="1" applyAlignment="1" applyProtection="1">
      <alignment horizontal="left" vertical="center"/>
    </xf>
    <xf numFmtId="172" fontId="8" fillId="47" borderId="21" xfId="74" applyNumberFormat="1" applyFont="1" applyFill="1" applyBorder="1" applyAlignment="1" applyProtection="1">
      <alignment horizontal="left" vertical="center"/>
    </xf>
    <xf numFmtId="172" fontId="8" fillId="47" borderId="0" xfId="74" applyNumberFormat="1" applyFont="1" applyFill="1" applyBorder="1" applyAlignment="1" applyProtection="1">
      <alignment horizontal="left" vertical="center"/>
    </xf>
    <xf numFmtId="166" fontId="8" fillId="57" borderId="0" xfId="171" applyNumberFormat="1" applyFont="1" applyFill="1" applyProtection="1">
      <alignment vertical="center"/>
      <protection locked="0"/>
    </xf>
    <xf numFmtId="0" fontId="8" fillId="57" borderId="0" xfId="167" applyNumberFormat="1" applyFont="1" applyFill="1" applyAlignment="1" applyProtection="1">
      <alignment horizontal="left" vertical="center"/>
    </xf>
    <xf numFmtId="166" fontId="47" fillId="57" borderId="37" xfId="171" applyNumberFormat="1" applyFont="1" applyFill="1" applyBorder="1" applyProtection="1">
      <alignment vertical="center"/>
      <protection locked="0"/>
    </xf>
    <xf numFmtId="164" fontId="15" fillId="0" borderId="0" xfId="74" applyFont="1" applyFill="1"/>
    <xf numFmtId="178" fontId="43" fillId="57" borderId="37" xfId="0" applyNumberFormat="1" applyFont="1" applyFill="1" applyBorder="1"/>
    <xf numFmtId="172" fontId="11" fillId="57" borderId="0" xfId="74" applyNumberFormat="1" applyFont="1" applyFill="1" applyBorder="1"/>
    <xf numFmtId="9" fontId="8" fillId="57" borderId="0" xfId="99" applyFont="1" applyFill="1" applyAlignment="1" applyProtection="1">
      <alignment horizontal="right" vertical="center"/>
    </xf>
    <xf numFmtId="172" fontId="11" fillId="51" borderId="0" xfId="74" applyNumberFormat="1" applyFont="1" applyFill="1"/>
    <xf numFmtId="172" fontId="11" fillId="62" borderId="0" xfId="74" applyNumberFormat="1" applyFont="1" applyFill="1" applyAlignment="1">
      <alignment horizontal="right"/>
    </xf>
    <xf numFmtId="172" fontId="11" fillId="0" borderId="0" xfId="0" applyNumberFormat="1" applyFont="1"/>
    <xf numFmtId="187" fontId="11" fillId="0" borderId="0" xfId="0" applyNumberFormat="1" applyFont="1" applyAlignment="1">
      <alignment horizontal="right"/>
    </xf>
    <xf numFmtId="164" fontId="11" fillId="0" borderId="0" xfId="74" applyFont="1" applyFill="1"/>
    <xf numFmtId="0" fontId="8" fillId="62" borderId="95" xfId="167" applyFont="1" applyFill="1" applyBorder="1" applyAlignment="1">
      <alignment horizontal="left" vertical="center"/>
    </xf>
    <xf numFmtId="166" fontId="8" fillId="57" borderId="95" xfId="171" applyNumberFormat="1" applyFont="1" applyFill="1" applyBorder="1" applyProtection="1">
      <alignment vertical="center"/>
      <protection locked="0"/>
    </xf>
    <xf numFmtId="172" fontId="8" fillId="62" borderId="95" xfId="74" applyNumberFormat="1" applyFont="1" applyFill="1" applyBorder="1" applyAlignment="1">
      <alignment horizontal="left" vertical="center"/>
    </xf>
    <xf numFmtId="166" fontId="8" fillId="62" borderId="21" xfId="167" applyNumberFormat="1" applyFont="1" applyFill="1" applyBorder="1" applyAlignment="1">
      <alignment horizontal="left" vertical="center"/>
    </xf>
    <xf numFmtId="166" fontId="8" fillId="57" borderId="21" xfId="171" applyNumberFormat="1" applyFont="1" applyFill="1" applyBorder="1" applyProtection="1">
      <alignment vertical="center"/>
      <protection locked="0"/>
    </xf>
    <xf numFmtId="172" fontId="8" fillId="62" borderId="21" xfId="74" applyNumberFormat="1" applyFont="1" applyFill="1" applyBorder="1" applyAlignment="1" applyProtection="1">
      <alignment vertical="center"/>
      <protection locked="0"/>
    </xf>
    <xf numFmtId="0" fontId="74" fillId="62" borderId="0" xfId="167" applyFont="1" applyFill="1" applyAlignment="1">
      <alignment horizontal="left" vertical="center"/>
    </xf>
    <xf numFmtId="0" fontId="8" fillId="0" borderId="0" xfId="167" applyFont="1" applyFill="1" applyAlignment="1">
      <alignment horizontal="left" vertical="center"/>
    </xf>
    <xf numFmtId="166" fontId="8" fillId="0" borderId="95" xfId="171" applyNumberFormat="1" applyFont="1" applyFill="1" applyBorder="1">
      <alignment vertical="center"/>
      <protection locked="0"/>
    </xf>
    <xf numFmtId="0" fontId="73" fillId="62" borderId="0" xfId="167" applyFont="1" applyFill="1" applyAlignment="1">
      <alignment horizontal="left" vertical="center"/>
    </xf>
    <xf numFmtId="172" fontId="8" fillId="0" borderId="21" xfId="74" applyNumberFormat="1" applyFont="1" applyFill="1" applyBorder="1" applyAlignment="1">
      <alignment horizontal="left" vertical="center"/>
    </xf>
    <xf numFmtId="166" fontId="8" fillId="0" borderId="21" xfId="171" applyNumberFormat="1" applyFont="1" applyFill="1" applyBorder="1">
      <alignment vertical="center"/>
      <protection locked="0"/>
    </xf>
    <xf numFmtId="0" fontId="9" fillId="0" borderId="0" xfId="167" applyFont="1" applyFill="1" applyAlignment="1">
      <alignment horizontal="left" vertical="center"/>
    </xf>
    <xf numFmtId="168" fontId="9" fillId="0" borderId="0" xfId="171" applyNumberFormat="1" applyFont="1" applyFill="1" applyAlignment="1" applyProtection="1">
      <alignment horizontal="left" vertical="center"/>
    </xf>
    <xf numFmtId="168" fontId="8" fillId="0" borderId="0" xfId="171" quotePrefix="1" applyNumberFormat="1" applyFont="1" applyFill="1" applyAlignment="1" applyProtection="1">
      <alignment horizontal="left" vertical="center"/>
    </xf>
    <xf numFmtId="168" fontId="74" fillId="0" borderId="0" xfId="171" applyNumberFormat="1" applyFont="1" applyFill="1" applyAlignment="1" applyProtection="1">
      <alignment horizontal="left" vertical="center"/>
    </xf>
    <xf numFmtId="172" fontId="8" fillId="47" borderId="96" xfId="74" applyNumberFormat="1" applyFont="1" applyFill="1" applyBorder="1" applyAlignment="1">
      <alignment horizontal="left" vertical="center"/>
    </xf>
    <xf numFmtId="0" fontId="8" fillId="62" borderId="96" xfId="93" applyFont="1" applyFill="1" applyBorder="1" applyProtection="1"/>
    <xf numFmtId="172" fontId="8" fillId="62" borderId="96" xfId="74" applyNumberFormat="1" applyFont="1" applyFill="1" applyBorder="1" applyAlignment="1">
      <alignment horizontal="left" vertical="center"/>
    </xf>
    <xf numFmtId="168" fontId="8" fillId="62" borderId="96" xfId="171" applyNumberFormat="1" applyFont="1" applyFill="1" applyBorder="1" applyAlignment="1" applyProtection="1">
      <alignment horizontal="left" vertical="center"/>
    </xf>
    <xf numFmtId="172" fontId="8" fillId="0" borderId="96" xfId="74" applyNumberFormat="1" applyFont="1" applyFill="1" applyBorder="1" applyAlignment="1">
      <alignment horizontal="left" vertical="center"/>
    </xf>
    <xf numFmtId="168" fontId="76" fillId="0" borderId="0" xfId="171" quotePrefix="1" applyNumberFormat="1" applyFont="1" applyFill="1" applyAlignment="1" applyProtection="1">
      <alignment horizontal="left" vertical="center"/>
    </xf>
    <xf numFmtId="164" fontId="8" fillId="62" borderId="0" xfId="74" applyFont="1" applyFill="1" applyBorder="1" applyAlignment="1" applyProtection="1">
      <alignment horizontal="left" vertical="center"/>
    </xf>
    <xf numFmtId="164" fontId="73" fillId="0" borderId="0" xfId="74" applyFont="1" applyBorder="1" applyAlignment="1" applyProtection="1">
      <alignment horizontal="left" vertical="center"/>
    </xf>
    <xf numFmtId="168" fontId="73" fillId="0" borderId="0" xfId="171" applyNumberFormat="1" applyFont="1" applyFill="1" applyAlignment="1" applyProtection="1">
      <alignment horizontal="left" vertical="center"/>
    </xf>
    <xf numFmtId="172" fontId="11" fillId="57" borderId="0" xfId="74" applyNumberFormat="1" applyFont="1" applyFill="1"/>
    <xf numFmtId="43" fontId="8" fillId="57" borderId="0" xfId="167" applyNumberFormat="1" applyFont="1" applyFill="1" applyAlignment="1" applyProtection="1">
      <alignment horizontal="left" vertical="center"/>
    </xf>
    <xf numFmtId="168" fontId="72" fillId="62" borderId="0" xfId="171" applyNumberFormat="1" applyFont="1" applyFill="1" applyAlignment="1" applyProtection="1">
      <alignment horizontal="left" vertical="center"/>
    </xf>
    <xf numFmtId="172" fontId="72" fillId="0" borderId="21" xfId="74" applyNumberFormat="1" applyFont="1" applyFill="1" applyBorder="1" applyAlignment="1">
      <alignment horizontal="left" vertical="center"/>
    </xf>
    <xf numFmtId="172" fontId="8" fillId="0" borderId="88" xfId="74" applyNumberFormat="1" applyFont="1" applyFill="1" applyBorder="1" applyAlignment="1">
      <alignment horizontal="left" vertical="center"/>
    </xf>
    <xf numFmtId="171" fontId="8" fillId="0" borderId="0" xfId="99" applyNumberFormat="1" applyFont="1" applyFill="1" applyAlignment="1" applyProtection="1">
      <alignment vertical="center"/>
      <protection locked="0"/>
    </xf>
    <xf numFmtId="168" fontId="8" fillId="0" borderId="0" xfId="171" applyNumberFormat="1" applyFont="1" applyFill="1" applyAlignment="1" applyProtection="1">
      <alignment horizontal="center" vertical="center"/>
    </xf>
    <xf numFmtId="166" fontId="9" fillId="0" borderId="0" xfId="171" applyNumberFormat="1" applyFont="1" applyFill="1" applyAlignment="1">
      <alignment horizontal="right" vertical="center"/>
      <protection locked="0"/>
    </xf>
    <xf numFmtId="164" fontId="73" fillId="0" borderId="0" xfId="74" applyFont="1" applyFill="1" applyBorder="1" applyAlignment="1" applyProtection="1">
      <alignment horizontal="left" vertical="center"/>
    </xf>
    <xf numFmtId="172" fontId="47" fillId="0" borderId="21" xfId="74" applyNumberFormat="1" applyFont="1" applyFill="1" applyBorder="1" applyAlignment="1">
      <alignment horizontal="left" vertical="center"/>
    </xf>
    <xf numFmtId="164" fontId="8" fillId="0" borderId="0" xfId="74" applyFont="1" applyFill="1" applyAlignment="1">
      <alignment horizontal="right" vertical="center"/>
    </xf>
    <xf numFmtId="172" fontId="47" fillId="0" borderId="37" xfId="74" applyNumberFormat="1" applyFont="1" applyFill="1" applyBorder="1" applyAlignment="1">
      <alignment horizontal="left" vertical="center"/>
    </xf>
    <xf numFmtId="43" fontId="0" fillId="0" borderId="0" xfId="0" applyNumberFormat="1"/>
    <xf numFmtId="168" fontId="8" fillId="62" borderId="0" xfId="93" applyNumberFormat="1" applyFont="1" applyFill="1" applyProtection="1"/>
    <xf numFmtId="168" fontId="2" fillId="62" borderId="0" xfId="93" applyNumberFormat="1" applyFont="1" applyFill="1" applyProtection="1"/>
    <xf numFmtId="166" fontId="49" fillId="0" borderId="0" xfId="171" applyNumberFormat="1" applyFont="1" applyFill="1">
      <alignment vertical="center"/>
      <protection locked="0"/>
    </xf>
    <xf numFmtId="9" fontId="49" fillId="0" borderId="0" xfId="99" applyFont="1" applyFill="1" applyAlignment="1" applyProtection="1">
      <alignment vertical="center"/>
      <protection locked="0"/>
    </xf>
    <xf numFmtId="166" fontId="49" fillId="57" borderId="0" xfId="171" applyNumberFormat="1" applyFont="1" applyFill="1" applyAlignment="1" applyProtection="1">
      <alignment horizontal="right" vertical="center"/>
      <protection locked="0"/>
    </xf>
    <xf numFmtId="0" fontId="49" fillId="62" borderId="0" xfId="167" applyFont="1" applyFill="1" applyAlignment="1">
      <alignment horizontal="left" vertical="center"/>
    </xf>
    <xf numFmtId="166" fontId="49" fillId="0" borderId="0" xfId="171" applyNumberFormat="1" applyFont="1" applyFill="1" applyAlignment="1">
      <alignment horizontal="right" vertical="center"/>
      <protection locked="0"/>
    </xf>
    <xf numFmtId="9" fontId="49" fillId="57" borderId="0" xfId="99" applyFont="1" applyFill="1" applyAlignment="1">
      <alignment horizontal="right" vertical="center"/>
    </xf>
    <xf numFmtId="178" fontId="15" fillId="0" borderId="0" xfId="0" applyNumberFormat="1" applyFont="1"/>
    <xf numFmtId="166" fontId="49" fillId="62" borderId="0" xfId="171" applyNumberFormat="1" applyFont="1" applyFill="1" applyAlignment="1">
      <alignment horizontal="right" vertical="center"/>
      <protection locked="0"/>
    </xf>
    <xf numFmtId="9" fontId="49" fillId="62" borderId="0" xfId="99" applyFont="1" applyFill="1" applyAlignment="1" applyProtection="1">
      <alignment vertical="center"/>
      <protection locked="0"/>
    </xf>
    <xf numFmtId="171" fontId="49" fillId="57" borderId="0" xfId="99" applyNumberFormat="1" applyFont="1" applyFill="1" applyAlignment="1">
      <alignment horizontal="right" vertical="center"/>
    </xf>
    <xf numFmtId="171" fontId="8" fillId="62" borderId="0" xfId="167" applyNumberFormat="1" applyFont="1" applyFill="1" applyAlignment="1">
      <alignment horizontal="left" vertical="center"/>
    </xf>
    <xf numFmtId="171" fontId="49" fillId="62" borderId="0" xfId="99" applyNumberFormat="1" applyFont="1" applyFill="1" applyAlignment="1" applyProtection="1">
      <alignment vertical="center"/>
      <protection locked="0"/>
    </xf>
    <xf numFmtId="171" fontId="49" fillId="62" borderId="0" xfId="167" applyNumberFormat="1" applyFont="1" applyFill="1" applyAlignment="1">
      <alignment horizontal="left" vertical="center"/>
    </xf>
    <xf numFmtId="171" fontId="49" fillId="0" borderId="0" xfId="99" applyNumberFormat="1" applyFont="1" applyFill="1" applyAlignment="1" applyProtection="1">
      <alignment vertical="center"/>
      <protection locked="0"/>
    </xf>
    <xf numFmtId="171" fontId="8" fillId="57" borderId="0" xfId="99" applyNumberFormat="1" applyFont="1" applyFill="1" applyAlignment="1" applyProtection="1">
      <alignment horizontal="right" vertical="center"/>
    </xf>
    <xf numFmtId="171" fontId="8" fillId="0" borderId="0" xfId="99" applyNumberFormat="1" applyFont="1" applyFill="1" applyAlignment="1">
      <alignment horizontal="right" vertical="center"/>
    </xf>
    <xf numFmtId="164" fontId="8" fillId="62" borderId="0" xfId="74" applyFont="1" applyFill="1" applyAlignment="1">
      <alignment horizontal="right" vertical="center"/>
    </xf>
    <xf numFmtId="164" fontId="8" fillId="47" borderId="0" xfId="74" applyFont="1" applyFill="1" applyAlignment="1">
      <alignment horizontal="right" vertical="center"/>
    </xf>
    <xf numFmtId="165" fontId="76" fillId="57" borderId="0" xfId="168" applyFont="1" applyFill="1" applyBorder="1" applyProtection="1">
      <alignment horizontal="right" vertical="center"/>
    </xf>
    <xf numFmtId="166" fontId="8" fillId="0" borderId="0" xfId="171" applyNumberFormat="1" applyFont="1" applyFill="1" applyAlignment="1">
      <alignment horizontal="right" vertical="center"/>
      <protection locked="0"/>
    </xf>
    <xf numFmtId="9" fontId="8" fillId="0" borderId="0" xfId="99" applyFont="1" applyFill="1" applyAlignment="1" applyProtection="1">
      <alignment vertical="center"/>
      <protection locked="0"/>
    </xf>
    <xf numFmtId="187" fontId="11" fillId="57" borderId="0" xfId="0" applyNumberFormat="1" applyFont="1" applyFill="1" applyAlignment="1">
      <alignment horizontal="right"/>
    </xf>
    <xf numFmtId="43" fontId="1" fillId="0" borderId="0" xfId="0" applyNumberFormat="1" applyFont="1"/>
    <xf numFmtId="172" fontId="1" fillId="0" borderId="0" xfId="74" applyNumberFormat="1" applyFont="1"/>
    <xf numFmtId="166" fontId="76" fillId="57" borderId="94" xfId="171" applyNumberFormat="1" applyFont="1" applyFill="1" applyBorder="1" applyAlignment="1">
      <alignment horizontal="right" vertical="center"/>
      <protection locked="0"/>
    </xf>
    <xf numFmtId="166" fontId="73" fillId="57" borderId="0" xfId="171" applyNumberFormat="1" applyFont="1" applyFill="1" applyProtection="1">
      <alignment vertical="center"/>
      <protection locked="0"/>
    </xf>
    <xf numFmtId="172" fontId="73" fillId="47" borderId="21" xfId="74" applyNumberFormat="1" applyFont="1" applyFill="1" applyBorder="1" applyAlignment="1" applyProtection="1">
      <alignment horizontal="left" vertical="center"/>
    </xf>
    <xf numFmtId="0" fontId="73" fillId="57" borderId="0" xfId="167" applyNumberFormat="1" applyFont="1" applyFill="1" applyAlignment="1" applyProtection="1">
      <alignment horizontal="left" vertical="center"/>
    </xf>
    <xf numFmtId="166" fontId="72" fillId="57" borderId="37" xfId="171" applyNumberFormat="1" applyFont="1" applyFill="1" applyBorder="1" applyProtection="1">
      <alignment vertical="center"/>
      <protection locked="0"/>
    </xf>
    <xf numFmtId="43" fontId="73" fillId="57" borderId="0" xfId="167" applyNumberFormat="1" applyFont="1" applyFill="1" applyAlignment="1" applyProtection="1">
      <alignment horizontal="left" vertical="center"/>
    </xf>
    <xf numFmtId="0" fontId="73" fillId="57" borderId="0" xfId="167" applyFont="1" applyFill="1" applyAlignment="1">
      <alignment horizontal="left" vertical="center"/>
    </xf>
    <xf numFmtId="166" fontId="72" fillId="57" borderId="37" xfId="171" applyNumberFormat="1" applyFont="1" applyFill="1" applyBorder="1">
      <alignment vertical="center"/>
      <protection locked="0"/>
    </xf>
    <xf numFmtId="166" fontId="73" fillId="57" borderId="0" xfId="171" applyNumberFormat="1" applyFont="1" applyFill="1">
      <alignment vertical="center"/>
      <protection locked="0"/>
    </xf>
    <xf numFmtId="0" fontId="76" fillId="57" borderId="0" xfId="167" applyFont="1" applyFill="1" applyAlignment="1">
      <alignment horizontal="left" vertical="center"/>
    </xf>
    <xf numFmtId="171" fontId="73" fillId="57" borderId="0" xfId="99" applyNumberFormat="1" applyFont="1" applyFill="1" applyAlignment="1">
      <alignment horizontal="right" vertical="center"/>
    </xf>
    <xf numFmtId="165" fontId="73" fillId="62" borderId="0" xfId="93" applyNumberFormat="1" applyFont="1" applyFill="1" applyProtection="1"/>
    <xf numFmtId="0" fontId="73" fillId="62" borderId="0" xfId="93" applyFont="1" applyFill="1">
      <protection locked="0"/>
    </xf>
    <xf numFmtId="0" fontId="0" fillId="60" borderId="0" xfId="0" applyFill="1" applyAlignment="1">
      <alignment horizontal="center" wrapText="1"/>
    </xf>
    <xf numFmtId="0" fontId="13" fillId="60" borderId="0" xfId="0" applyFont="1" applyFill="1" applyAlignment="1">
      <alignment horizontal="center" wrapText="1"/>
    </xf>
    <xf numFmtId="169" fontId="52" fillId="0" borderId="0" xfId="181" applyNumberFormat="1" applyFont="1" applyAlignment="1">
      <alignment horizontal="left"/>
    </xf>
    <xf numFmtId="0" fontId="57" fillId="0" borderId="66" xfId="181" applyFont="1" applyBorder="1" applyAlignment="1">
      <alignment horizontal="center" vertical="center"/>
    </xf>
    <xf numFmtId="0" fontId="57" fillId="0" borderId="67" xfId="181" applyFont="1" applyBorder="1" applyAlignment="1">
      <alignment horizontal="center" vertical="center"/>
    </xf>
    <xf numFmtId="0" fontId="57" fillId="0" borderId="68" xfId="181" applyFont="1" applyBorder="1" applyAlignment="1">
      <alignment horizontal="center" vertical="center"/>
    </xf>
    <xf numFmtId="9" fontId="73" fillId="57" borderId="0" xfId="99" applyFont="1" applyFill="1" applyAlignment="1">
      <alignment horizontal="right" vertical="center"/>
    </xf>
    <xf numFmtId="166" fontId="73" fillId="62" borderId="0" xfId="171" applyNumberFormat="1" applyFont="1" applyFill="1">
      <alignment vertical="center"/>
      <protection locked="0"/>
    </xf>
  </cellXfs>
  <cellStyles count="216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1 10" xfId="207" xr:uid="{00000000-0005-0000-0000-000003000000}"/>
    <cellStyle name="Accent1 11" xfId="190" xr:uid="{00000000-0005-0000-0000-000004000000}"/>
    <cellStyle name="Accent1 12" xfId="214" xr:uid="{00000000-0005-0000-0000-000005000000}"/>
    <cellStyle name="Accent1 13" xfId="215" xr:uid="{00000000-0005-0000-0000-000006000000}"/>
    <cellStyle name="Accent1 2" xfId="4" xr:uid="{00000000-0005-0000-0000-000007000000}"/>
    <cellStyle name="Accent1 3" xfId="5" xr:uid="{00000000-0005-0000-0000-000008000000}"/>
    <cellStyle name="Accent1 4" xfId="6" xr:uid="{00000000-0005-0000-0000-000009000000}"/>
    <cellStyle name="Accent1 5" xfId="7" xr:uid="{00000000-0005-0000-0000-00000A000000}"/>
    <cellStyle name="Accent1 6" xfId="8" xr:uid="{00000000-0005-0000-0000-00000B000000}"/>
    <cellStyle name="Accent1 7" xfId="9" xr:uid="{00000000-0005-0000-0000-00000C000000}"/>
    <cellStyle name="Accent1 8" xfId="10" xr:uid="{00000000-0005-0000-0000-00000D000000}"/>
    <cellStyle name="Accent1 9" xfId="184" xr:uid="{00000000-0005-0000-0000-00000E000000}"/>
    <cellStyle name="Accent2 - 20%" xfId="11" xr:uid="{00000000-0005-0000-0000-00000F000000}"/>
    <cellStyle name="Accent2 - 40%" xfId="12" xr:uid="{00000000-0005-0000-0000-000010000000}"/>
    <cellStyle name="Accent2 - 60%" xfId="13" xr:uid="{00000000-0005-0000-0000-000011000000}"/>
    <cellStyle name="Accent2 10" xfId="206" xr:uid="{00000000-0005-0000-0000-000012000000}"/>
    <cellStyle name="Accent2 11" xfId="192" xr:uid="{00000000-0005-0000-0000-000013000000}"/>
    <cellStyle name="Accent2 12" xfId="213" xr:uid="{00000000-0005-0000-0000-000014000000}"/>
    <cellStyle name="Accent2 13" xfId="191" xr:uid="{00000000-0005-0000-0000-000015000000}"/>
    <cellStyle name="Accent2 2" xfId="14" xr:uid="{00000000-0005-0000-0000-000016000000}"/>
    <cellStyle name="Accent2 3" xfId="15" xr:uid="{00000000-0005-0000-0000-000017000000}"/>
    <cellStyle name="Accent2 4" xfId="16" xr:uid="{00000000-0005-0000-0000-000018000000}"/>
    <cellStyle name="Accent2 5" xfId="17" xr:uid="{00000000-0005-0000-0000-000019000000}"/>
    <cellStyle name="Accent2 6" xfId="18" xr:uid="{00000000-0005-0000-0000-00001A000000}"/>
    <cellStyle name="Accent2 7" xfId="19" xr:uid="{00000000-0005-0000-0000-00001B000000}"/>
    <cellStyle name="Accent2 8" xfId="20" xr:uid="{00000000-0005-0000-0000-00001C000000}"/>
    <cellStyle name="Accent2 9" xfId="185" xr:uid="{00000000-0005-0000-0000-00001D000000}"/>
    <cellStyle name="Accent3 - 20%" xfId="21" xr:uid="{00000000-0005-0000-0000-00001E000000}"/>
    <cellStyle name="Accent3 - 40%" xfId="22" xr:uid="{00000000-0005-0000-0000-00001F000000}"/>
    <cellStyle name="Accent3 - 60%" xfId="23" xr:uid="{00000000-0005-0000-0000-000020000000}"/>
    <cellStyle name="Accent3 10" xfId="205" xr:uid="{00000000-0005-0000-0000-000021000000}"/>
    <cellStyle name="Accent3 11" xfId="194" xr:uid="{00000000-0005-0000-0000-000022000000}"/>
    <cellStyle name="Accent3 12" xfId="212" xr:uid="{00000000-0005-0000-0000-000023000000}"/>
    <cellStyle name="Accent3 13" xfId="193" xr:uid="{00000000-0005-0000-0000-000024000000}"/>
    <cellStyle name="Accent3 2" xfId="24" xr:uid="{00000000-0005-0000-0000-000025000000}"/>
    <cellStyle name="Accent3 3" xfId="25" xr:uid="{00000000-0005-0000-0000-000026000000}"/>
    <cellStyle name="Accent3 4" xfId="26" xr:uid="{00000000-0005-0000-0000-000027000000}"/>
    <cellStyle name="Accent3 5" xfId="27" xr:uid="{00000000-0005-0000-0000-000028000000}"/>
    <cellStyle name="Accent3 6" xfId="28" xr:uid="{00000000-0005-0000-0000-000029000000}"/>
    <cellStyle name="Accent3 7" xfId="29" xr:uid="{00000000-0005-0000-0000-00002A000000}"/>
    <cellStyle name="Accent3 8" xfId="30" xr:uid="{00000000-0005-0000-0000-00002B000000}"/>
    <cellStyle name="Accent3 9" xfId="186" xr:uid="{00000000-0005-0000-0000-00002C000000}"/>
    <cellStyle name="Accent4 - 20%" xfId="31" xr:uid="{00000000-0005-0000-0000-00002D000000}"/>
    <cellStyle name="Accent4 - 40%" xfId="32" xr:uid="{00000000-0005-0000-0000-00002E000000}"/>
    <cellStyle name="Accent4 - 60%" xfId="33" xr:uid="{00000000-0005-0000-0000-00002F000000}"/>
    <cellStyle name="Accent4 10" xfId="204" xr:uid="{00000000-0005-0000-0000-000030000000}"/>
    <cellStyle name="Accent4 11" xfId="196" xr:uid="{00000000-0005-0000-0000-000031000000}"/>
    <cellStyle name="Accent4 12" xfId="211" xr:uid="{00000000-0005-0000-0000-000032000000}"/>
    <cellStyle name="Accent4 13" xfId="195" xr:uid="{00000000-0005-0000-0000-000033000000}"/>
    <cellStyle name="Accent4 2" xfId="34" xr:uid="{00000000-0005-0000-0000-000034000000}"/>
    <cellStyle name="Accent4 3" xfId="35" xr:uid="{00000000-0005-0000-0000-000035000000}"/>
    <cellStyle name="Accent4 4" xfId="36" xr:uid="{00000000-0005-0000-0000-000036000000}"/>
    <cellStyle name="Accent4 5" xfId="37" xr:uid="{00000000-0005-0000-0000-000037000000}"/>
    <cellStyle name="Accent4 6" xfId="38" xr:uid="{00000000-0005-0000-0000-000038000000}"/>
    <cellStyle name="Accent4 7" xfId="39" xr:uid="{00000000-0005-0000-0000-000039000000}"/>
    <cellStyle name="Accent4 8" xfId="40" xr:uid="{00000000-0005-0000-0000-00003A000000}"/>
    <cellStyle name="Accent4 9" xfId="187" xr:uid="{00000000-0005-0000-0000-00003B000000}"/>
    <cellStyle name="Accent5 - 20%" xfId="41" xr:uid="{00000000-0005-0000-0000-00003C000000}"/>
    <cellStyle name="Accent5 - 40%" xfId="42" xr:uid="{00000000-0005-0000-0000-00003D000000}"/>
    <cellStyle name="Accent5 - 60%" xfId="43" xr:uid="{00000000-0005-0000-0000-00003E000000}"/>
    <cellStyle name="Accent5 10" xfId="203" xr:uid="{00000000-0005-0000-0000-00003F000000}"/>
    <cellStyle name="Accent5 11" xfId="197" xr:uid="{00000000-0005-0000-0000-000040000000}"/>
    <cellStyle name="Accent5 12" xfId="210" xr:uid="{00000000-0005-0000-0000-000041000000}"/>
    <cellStyle name="Accent5 13" xfId="208" xr:uid="{00000000-0005-0000-0000-000042000000}"/>
    <cellStyle name="Accent5 2" xfId="44" xr:uid="{00000000-0005-0000-0000-000043000000}"/>
    <cellStyle name="Accent5 3" xfId="45" xr:uid="{00000000-0005-0000-0000-000044000000}"/>
    <cellStyle name="Accent5 4" xfId="46" xr:uid="{00000000-0005-0000-0000-000045000000}"/>
    <cellStyle name="Accent5 5" xfId="47" xr:uid="{00000000-0005-0000-0000-000046000000}"/>
    <cellStyle name="Accent5 6" xfId="48" xr:uid="{00000000-0005-0000-0000-000047000000}"/>
    <cellStyle name="Accent5 7" xfId="49" xr:uid="{00000000-0005-0000-0000-000048000000}"/>
    <cellStyle name="Accent5 8" xfId="50" xr:uid="{00000000-0005-0000-0000-000049000000}"/>
    <cellStyle name="Accent5 9" xfId="188" xr:uid="{00000000-0005-0000-0000-00004A000000}"/>
    <cellStyle name="Accent6 - 20%" xfId="51" xr:uid="{00000000-0005-0000-0000-00004B000000}"/>
    <cellStyle name="Accent6 - 40%" xfId="52" xr:uid="{00000000-0005-0000-0000-00004C000000}"/>
    <cellStyle name="Accent6 - 60%" xfId="53" xr:uid="{00000000-0005-0000-0000-00004D000000}"/>
    <cellStyle name="Accent6 10" xfId="202" xr:uid="{00000000-0005-0000-0000-00004E000000}"/>
    <cellStyle name="Accent6 11" xfId="198" xr:uid="{00000000-0005-0000-0000-00004F000000}"/>
    <cellStyle name="Accent6 12" xfId="209" xr:uid="{00000000-0005-0000-0000-000050000000}"/>
    <cellStyle name="Accent6 13" xfId="199" xr:uid="{00000000-0005-0000-0000-000051000000}"/>
    <cellStyle name="Accent6 2" xfId="54" xr:uid="{00000000-0005-0000-0000-000052000000}"/>
    <cellStyle name="Accent6 3" xfId="55" xr:uid="{00000000-0005-0000-0000-000053000000}"/>
    <cellStyle name="Accent6 4" xfId="56" xr:uid="{00000000-0005-0000-0000-000054000000}"/>
    <cellStyle name="Accent6 5" xfId="57" xr:uid="{00000000-0005-0000-0000-000055000000}"/>
    <cellStyle name="Accent6 6" xfId="58" xr:uid="{00000000-0005-0000-0000-000056000000}"/>
    <cellStyle name="Accent6 7" xfId="59" xr:uid="{00000000-0005-0000-0000-000057000000}"/>
    <cellStyle name="Accent6 8" xfId="60" xr:uid="{00000000-0005-0000-0000-000058000000}"/>
    <cellStyle name="Accent6 9" xfId="189" xr:uid="{00000000-0005-0000-0000-000059000000}"/>
    <cellStyle name="Bad 2" xfId="61" xr:uid="{00000000-0005-0000-0000-00005A000000}"/>
    <cellStyle name="Body Text" xfId="62" xr:uid="{00000000-0005-0000-0000-00005B000000}"/>
    <cellStyle name="Body Text Bottom" xfId="63" xr:uid="{00000000-0005-0000-0000-00005C000000}"/>
    <cellStyle name="Body Text No Wrap" xfId="64" xr:uid="{00000000-0005-0000-0000-00005D000000}"/>
    <cellStyle name="Body Text No Wrap Rule" xfId="65" xr:uid="{00000000-0005-0000-0000-00005E000000}"/>
    <cellStyle name="Body Text Top" xfId="66" xr:uid="{00000000-0005-0000-0000-00005F000000}"/>
    <cellStyle name="border" xfId="67" xr:uid="{00000000-0005-0000-0000-000060000000}"/>
    <cellStyle name="Border 1" xfId="68" xr:uid="{00000000-0005-0000-0000-000061000000}"/>
    <cellStyle name="Border 2" xfId="69" xr:uid="{00000000-0005-0000-0000-000062000000}"/>
    <cellStyle name="Border 3" xfId="70" xr:uid="{00000000-0005-0000-0000-000063000000}"/>
    <cellStyle name="Border 4" xfId="71" xr:uid="{00000000-0005-0000-0000-000064000000}"/>
    <cellStyle name="Calculation 2" xfId="72" xr:uid="{00000000-0005-0000-0000-000065000000}"/>
    <cellStyle name="Check Cell 2" xfId="73" xr:uid="{00000000-0005-0000-0000-000066000000}"/>
    <cellStyle name="Comma" xfId="74" builtinId="3"/>
    <cellStyle name="Comma_Product margin analysis Dec03" xfId="182" xr:uid="{00000000-0005-0000-0000-000068000000}"/>
    <cellStyle name="Emphasis 1" xfId="75" xr:uid="{00000000-0005-0000-0000-000069000000}"/>
    <cellStyle name="Emphasis 2" xfId="76" xr:uid="{00000000-0005-0000-0000-00006A000000}"/>
    <cellStyle name="Emphasis 3" xfId="77" xr:uid="{00000000-0005-0000-0000-00006B000000}"/>
    <cellStyle name="Footnotes" xfId="78" xr:uid="{00000000-0005-0000-0000-00006C000000}"/>
    <cellStyle name="Good 2" xfId="79" xr:uid="{00000000-0005-0000-0000-00006D000000}"/>
    <cellStyle name="Heading 1 2" xfId="80" xr:uid="{00000000-0005-0000-0000-00006E000000}"/>
    <cellStyle name="Heading 2 2" xfId="81" xr:uid="{00000000-0005-0000-0000-00006F000000}"/>
    <cellStyle name="Heading 3 2" xfId="82" xr:uid="{00000000-0005-0000-0000-000070000000}"/>
    <cellStyle name="Heading 4 2" xfId="83" xr:uid="{00000000-0005-0000-0000-000071000000}"/>
    <cellStyle name="Input 2" xfId="84" xr:uid="{00000000-0005-0000-0000-000072000000}"/>
    <cellStyle name="Linked Cell 2" xfId="85" xr:uid="{00000000-0005-0000-0000-000073000000}"/>
    <cellStyle name="Neutral 2" xfId="86" xr:uid="{00000000-0005-0000-0000-000074000000}"/>
    <cellStyle name="Normal" xfId="0" builtinId="0"/>
    <cellStyle name="Normal 2" xfId="87" xr:uid="{00000000-0005-0000-0000-000076000000}"/>
    <cellStyle name="Normal 3" xfId="88" xr:uid="{00000000-0005-0000-0000-000077000000}"/>
    <cellStyle name="Normal 4" xfId="89" xr:uid="{00000000-0005-0000-0000-000078000000}"/>
    <cellStyle name="Normal 5" xfId="90" xr:uid="{00000000-0005-0000-0000-000079000000}"/>
    <cellStyle name="Normal_~8805583" xfId="183" xr:uid="{00000000-0005-0000-0000-00007A000000}"/>
    <cellStyle name="Normal_Exec Team Report May07" xfId="91" xr:uid="{00000000-0005-0000-0000-00007B000000}"/>
    <cellStyle name="Normal_FPR 01 02 Incitec test" xfId="92" xr:uid="{00000000-0005-0000-0000-00007C000000}"/>
    <cellStyle name="Normal_IPL 2009 Mar 09 Fin A Smts" xfId="93" xr:uid="{00000000-0005-0000-0000-00007D000000}"/>
    <cellStyle name="Normal_Overall Analytical DB" xfId="180" xr:uid="{00000000-0005-0000-0000-00007E000000}"/>
    <cellStyle name="Normal_Product margin analysis Dec03" xfId="181" xr:uid="{00000000-0005-0000-0000-00007F000000}"/>
    <cellStyle name="Note 2" xfId="94" xr:uid="{00000000-0005-0000-0000-000080000000}"/>
    <cellStyle name="Note 3" xfId="95" xr:uid="{00000000-0005-0000-0000-000081000000}"/>
    <cellStyle name="Note 4" xfId="96" xr:uid="{00000000-0005-0000-0000-000082000000}"/>
    <cellStyle name="Note 5" xfId="97" xr:uid="{00000000-0005-0000-0000-000083000000}"/>
    <cellStyle name="Output 2" xfId="98" xr:uid="{00000000-0005-0000-0000-000084000000}"/>
    <cellStyle name="Percent" xfId="99" builtinId="5"/>
    <cellStyle name="SAPBEXaggData" xfId="100" xr:uid="{00000000-0005-0000-0000-000086000000}"/>
    <cellStyle name="SAPBEXaggData 2" xfId="101" xr:uid="{00000000-0005-0000-0000-000087000000}"/>
    <cellStyle name="SAPBEXaggDataEmph" xfId="102" xr:uid="{00000000-0005-0000-0000-000088000000}"/>
    <cellStyle name="SAPBEXaggItem" xfId="103" xr:uid="{00000000-0005-0000-0000-000089000000}"/>
    <cellStyle name="SAPBEXaggItem 2" xfId="104" xr:uid="{00000000-0005-0000-0000-00008A000000}"/>
    <cellStyle name="SAPBEXaggItemX" xfId="105" xr:uid="{00000000-0005-0000-0000-00008B000000}"/>
    <cellStyle name="SAPBEXchaText" xfId="106" xr:uid="{00000000-0005-0000-0000-00008C000000}"/>
    <cellStyle name="SAPBEXchaText 2" xfId="107" xr:uid="{00000000-0005-0000-0000-00008D000000}"/>
    <cellStyle name="SAPBEXexcBad7" xfId="108" xr:uid="{00000000-0005-0000-0000-00008E000000}"/>
    <cellStyle name="SAPBEXexcBad8" xfId="109" xr:uid="{00000000-0005-0000-0000-00008F000000}"/>
    <cellStyle name="SAPBEXexcBad9" xfId="110" xr:uid="{00000000-0005-0000-0000-000090000000}"/>
    <cellStyle name="SAPBEXexcCritical4" xfId="111" xr:uid="{00000000-0005-0000-0000-000091000000}"/>
    <cellStyle name="SAPBEXexcCritical5" xfId="112" xr:uid="{00000000-0005-0000-0000-000092000000}"/>
    <cellStyle name="SAPBEXexcCritical6" xfId="113" xr:uid="{00000000-0005-0000-0000-000093000000}"/>
    <cellStyle name="SAPBEXexcGood1" xfId="114" xr:uid="{00000000-0005-0000-0000-000094000000}"/>
    <cellStyle name="SAPBEXexcGood2" xfId="115" xr:uid="{00000000-0005-0000-0000-000095000000}"/>
    <cellStyle name="SAPBEXexcGood3" xfId="116" xr:uid="{00000000-0005-0000-0000-000096000000}"/>
    <cellStyle name="SAPBEXfilterDrill" xfId="117" xr:uid="{00000000-0005-0000-0000-000097000000}"/>
    <cellStyle name="SAPBEXfilterItem" xfId="118" xr:uid="{00000000-0005-0000-0000-000098000000}"/>
    <cellStyle name="SAPBEXfilterItem 2" xfId="200" xr:uid="{00000000-0005-0000-0000-000099000000}"/>
    <cellStyle name="SAPBEXfilterText" xfId="119" xr:uid="{00000000-0005-0000-0000-00009A000000}"/>
    <cellStyle name="SAPBEXfilterText 2" xfId="201" xr:uid="{00000000-0005-0000-0000-00009B000000}"/>
    <cellStyle name="SAPBEXformats" xfId="120" xr:uid="{00000000-0005-0000-0000-00009C000000}"/>
    <cellStyle name="SAPBEXheaderItem" xfId="121" xr:uid="{00000000-0005-0000-0000-00009D000000}"/>
    <cellStyle name="SAPBEXheaderText" xfId="122" xr:uid="{00000000-0005-0000-0000-00009E000000}"/>
    <cellStyle name="SAPBEXHLevel0" xfId="123" xr:uid="{00000000-0005-0000-0000-00009F000000}"/>
    <cellStyle name="SAPBEXHLevel0 2" xfId="124" xr:uid="{00000000-0005-0000-0000-0000A0000000}"/>
    <cellStyle name="SAPBEXHLevel0X" xfId="125" xr:uid="{00000000-0005-0000-0000-0000A1000000}"/>
    <cellStyle name="SAPBEXHLevel0X 2" xfId="126" xr:uid="{00000000-0005-0000-0000-0000A2000000}"/>
    <cellStyle name="SAPBEXHLevel0X 3" xfId="127" xr:uid="{00000000-0005-0000-0000-0000A3000000}"/>
    <cellStyle name="SAPBEXHLevel0X 4" xfId="128" xr:uid="{00000000-0005-0000-0000-0000A4000000}"/>
    <cellStyle name="SAPBEXHLevel1" xfId="129" xr:uid="{00000000-0005-0000-0000-0000A5000000}"/>
    <cellStyle name="SAPBEXHLevel1 2" xfId="130" xr:uid="{00000000-0005-0000-0000-0000A6000000}"/>
    <cellStyle name="SAPBEXHLevel1X" xfId="131" xr:uid="{00000000-0005-0000-0000-0000A7000000}"/>
    <cellStyle name="SAPBEXHLevel1X 2" xfId="132" xr:uid="{00000000-0005-0000-0000-0000A8000000}"/>
    <cellStyle name="SAPBEXHLevel1X 3" xfId="133" xr:uid="{00000000-0005-0000-0000-0000A9000000}"/>
    <cellStyle name="SAPBEXHLevel1X 4" xfId="134" xr:uid="{00000000-0005-0000-0000-0000AA000000}"/>
    <cellStyle name="SAPBEXHLevel2" xfId="135" xr:uid="{00000000-0005-0000-0000-0000AB000000}"/>
    <cellStyle name="SAPBEXHLevel2 2" xfId="136" xr:uid="{00000000-0005-0000-0000-0000AC000000}"/>
    <cellStyle name="SAPBEXHLevel2X" xfId="137" xr:uid="{00000000-0005-0000-0000-0000AD000000}"/>
    <cellStyle name="SAPBEXHLevel2X 2" xfId="138" xr:uid="{00000000-0005-0000-0000-0000AE000000}"/>
    <cellStyle name="SAPBEXHLevel2X 3" xfId="139" xr:uid="{00000000-0005-0000-0000-0000AF000000}"/>
    <cellStyle name="SAPBEXHLevel2X 4" xfId="140" xr:uid="{00000000-0005-0000-0000-0000B0000000}"/>
    <cellStyle name="SAPBEXHLevel3" xfId="141" xr:uid="{00000000-0005-0000-0000-0000B1000000}"/>
    <cellStyle name="SAPBEXHLevel3 2" xfId="142" xr:uid="{00000000-0005-0000-0000-0000B2000000}"/>
    <cellStyle name="SAPBEXHLevel3X" xfId="143" xr:uid="{00000000-0005-0000-0000-0000B3000000}"/>
    <cellStyle name="SAPBEXHLevel3X 2" xfId="144" xr:uid="{00000000-0005-0000-0000-0000B4000000}"/>
    <cellStyle name="SAPBEXHLevel3X 3" xfId="145" xr:uid="{00000000-0005-0000-0000-0000B5000000}"/>
    <cellStyle name="SAPBEXHLevel3X 4" xfId="146" xr:uid="{00000000-0005-0000-0000-0000B6000000}"/>
    <cellStyle name="SAPBEXinputData" xfId="147" xr:uid="{00000000-0005-0000-0000-0000B7000000}"/>
    <cellStyle name="SAPBEXinputData 2" xfId="148" xr:uid="{00000000-0005-0000-0000-0000B8000000}"/>
    <cellStyle name="SAPBEXinputData 3" xfId="149" xr:uid="{00000000-0005-0000-0000-0000B9000000}"/>
    <cellStyle name="SAPBEXinputData 4" xfId="150" xr:uid="{00000000-0005-0000-0000-0000BA000000}"/>
    <cellStyle name="SAPBEXItemHeader" xfId="151" xr:uid="{00000000-0005-0000-0000-0000BB000000}"/>
    <cellStyle name="SAPBEXresData" xfId="152" xr:uid="{00000000-0005-0000-0000-0000BC000000}"/>
    <cellStyle name="SAPBEXresDataEmph" xfId="153" xr:uid="{00000000-0005-0000-0000-0000BD000000}"/>
    <cellStyle name="SAPBEXresItem" xfId="154" xr:uid="{00000000-0005-0000-0000-0000BE000000}"/>
    <cellStyle name="SAPBEXresItemX" xfId="155" xr:uid="{00000000-0005-0000-0000-0000BF000000}"/>
    <cellStyle name="SAPBEXstdData" xfId="156" xr:uid="{00000000-0005-0000-0000-0000C0000000}"/>
    <cellStyle name="SAPBEXstdData 2" xfId="157" xr:uid="{00000000-0005-0000-0000-0000C1000000}"/>
    <cellStyle name="SAPBEXstdDataEmph" xfId="158" xr:uid="{00000000-0005-0000-0000-0000C2000000}"/>
    <cellStyle name="SAPBEXstdItem" xfId="159" xr:uid="{00000000-0005-0000-0000-0000C3000000}"/>
    <cellStyle name="SAPBEXstdItem 2" xfId="160" xr:uid="{00000000-0005-0000-0000-0000C4000000}"/>
    <cellStyle name="SAPBEXstdItemX" xfId="161" xr:uid="{00000000-0005-0000-0000-0000C5000000}"/>
    <cellStyle name="SAPBEXtitle" xfId="162" xr:uid="{00000000-0005-0000-0000-0000C6000000}"/>
    <cellStyle name="SAPBEXunassignedItem" xfId="163" xr:uid="{00000000-0005-0000-0000-0000C7000000}"/>
    <cellStyle name="SAPBEXundefined" xfId="164" xr:uid="{00000000-0005-0000-0000-0000C8000000}"/>
    <cellStyle name="Sheet Title" xfId="165" xr:uid="{00000000-0005-0000-0000-0000C9000000}"/>
    <cellStyle name="Sub head" xfId="166" xr:uid="{00000000-0005-0000-0000-0000CA000000}"/>
    <cellStyle name="Table Heads" xfId="167" xr:uid="{00000000-0005-0000-0000-0000CB000000}"/>
    <cellStyle name="Table Heads Rule" xfId="168" xr:uid="{00000000-0005-0000-0000-0000CC000000}"/>
    <cellStyle name="Table Heads Top Aligned" xfId="169" xr:uid="{00000000-0005-0000-0000-0000CD000000}"/>
    <cellStyle name="Table Heads Top Aligned Rule" xfId="170" xr:uid="{00000000-0005-0000-0000-0000CE000000}"/>
    <cellStyle name="Table Text" xfId="171" xr:uid="{00000000-0005-0000-0000-0000CF000000}"/>
    <cellStyle name="Table Text 2 lines" xfId="172" xr:uid="{00000000-0005-0000-0000-0000D0000000}"/>
    <cellStyle name="Table Text Bold Rule" xfId="173" xr:uid="{00000000-0005-0000-0000-0000D1000000}"/>
    <cellStyle name="Table Text Bold Rule 2 lines" xfId="174" xr:uid="{00000000-0005-0000-0000-0000D2000000}"/>
    <cellStyle name="Table Text Rule" xfId="175" xr:uid="{00000000-0005-0000-0000-0000D3000000}"/>
    <cellStyle name="Table Text Rule 2 lines" xfId="176" xr:uid="{00000000-0005-0000-0000-0000D4000000}"/>
    <cellStyle name="Table Text Wrap" xfId="177" xr:uid="{00000000-0005-0000-0000-0000D5000000}"/>
    <cellStyle name="Total 2" xfId="178" xr:uid="{00000000-0005-0000-0000-0000D6000000}"/>
    <cellStyle name="Warning Text 2" xfId="179" xr:uid="{00000000-0005-0000-0000-0000D7000000}"/>
  </cellStyles>
  <dxfs count="46">
    <dxf>
      <fill>
        <patternFill>
          <fgColor indexed="47"/>
          <bgColor indexed="47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164" formatCode="_(* #,##0.00_);_(* \(#,##0.00\);_(* &quot;-&quot;??_);_(@_)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4" formatCode="_(* #,##0.00_);_(* \(#,##0.00\);_(* &quot;-&quot;??_);_(@_)"/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4" formatCode="_(* #,##0.00_);_(* \(#,##0.00\);_(* &quot;-&quot;??_);_(@_)"/>
    </dxf>
  </dxfs>
  <tableStyles count="0" defaultTableStyle="TableStyleMedium9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3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AU"/>
              <a:t>Rolling TWC % NR</a:t>
            </a:r>
          </a:p>
        </c:rich>
      </c:tx>
      <c:layout>
        <c:manualLayout>
          <c:xMode val="edge"/>
          <c:yMode val="edge"/>
          <c:x val="0.39393994907212337"/>
          <c:y val="3.50878194896166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1024335182662"/>
          <c:y val="0.22514684172503691"/>
          <c:w val="0.83405600939079605"/>
          <c:h val="0.66666857030270665"/>
        </c:manualLayout>
      </c:layout>
      <c:barChart>
        <c:barDir val="col"/>
        <c:grouping val="clustered"/>
        <c:varyColors val="0"/>
        <c:ser>
          <c:idx val="0"/>
          <c:order val="0"/>
          <c:tx>
            <c:v>Explosives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2C5-42D2-A130-E1EA01FF2828}"/>
            </c:ext>
          </c:extLst>
        </c:ser>
        <c:ser>
          <c:idx val="1"/>
          <c:order val="1"/>
          <c:tx>
            <c:v>Fertilisers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5-42D2-A130-E1EA01FF2828}"/>
            </c:ext>
          </c:extLst>
        </c:ser>
        <c:ser>
          <c:idx val="2"/>
          <c:order val="2"/>
          <c:tx>
            <c:v>Group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2C5-42D2-A130-E1EA01FF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343384"/>
        <c:axId val="790619768"/>
      </c:barChart>
      <c:catAx>
        <c:axId val="137343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0619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0619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Rolling TWC % NR</a:t>
                </a:r>
              </a:p>
            </c:rich>
          </c:tx>
          <c:layout>
            <c:manualLayout>
              <c:xMode val="edge"/>
              <c:yMode val="edge"/>
              <c:x val="7.2150173822733959E-3"/>
              <c:y val="0.362574134726033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343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68809282571369"/>
          <c:y val="1.4619924787340059E-2"/>
          <c:w val="0.11976928854573719"/>
          <c:h val="0.192983007192888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66" r="0.750000000000004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AU"/>
              <a:t>Rolling TWC % NR</a:t>
            </a:r>
          </a:p>
        </c:rich>
      </c:tx>
      <c:layout>
        <c:manualLayout>
          <c:xMode val="edge"/>
          <c:yMode val="edge"/>
          <c:x val="0.39393994907212337"/>
          <c:y val="3.50878194896166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1024335182662"/>
          <c:y val="0.22514684172503691"/>
          <c:w val="0.83405600939079605"/>
          <c:h val="0.66666857030270665"/>
        </c:manualLayout>
      </c:layout>
      <c:barChart>
        <c:barDir val="col"/>
        <c:grouping val="clustered"/>
        <c:varyColors val="0"/>
        <c:ser>
          <c:idx val="0"/>
          <c:order val="0"/>
          <c:tx>
            <c:v>Explosives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2AF-41B5-8DA2-FCD78D8E0E3C}"/>
            </c:ext>
          </c:extLst>
        </c:ser>
        <c:ser>
          <c:idx val="1"/>
          <c:order val="1"/>
          <c:tx>
            <c:v>Fertilisers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2AF-41B5-8DA2-FCD78D8E0E3C}"/>
            </c:ext>
          </c:extLst>
        </c:ser>
        <c:ser>
          <c:idx val="2"/>
          <c:order val="2"/>
          <c:tx>
            <c:v>Group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2AF-41B5-8DA2-FCD78D8E0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620944"/>
        <c:axId val="790622120"/>
      </c:barChart>
      <c:catAx>
        <c:axId val="79062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0622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0622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Rolling TWC % NR</a:t>
                </a:r>
              </a:p>
            </c:rich>
          </c:tx>
          <c:layout>
            <c:manualLayout>
              <c:xMode val="edge"/>
              <c:yMode val="edge"/>
              <c:x val="7.2150173822733959E-3"/>
              <c:y val="0.362574134726033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06209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68809282571369"/>
          <c:y val="1.4619924787340059E-2"/>
          <c:w val="0.11976928854573719"/>
          <c:h val="0.192983007192888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66" r="0.75000000000000466" t="1" header="0.5" footer="0.5"/>
    <c:pageSetup/>
  </c:printSettings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27</xdr:row>
      <xdr:rowOff>0</xdr:rowOff>
    </xdr:from>
    <xdr:to>
      <xdr:col>0</xdr:col>
      <xdr:colOff>161925</xdr:colOff>
      <xdr:row>27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8575" y="402907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</a:t>
          </a:r>
        </a:p>
      </xdr:txBody>
    </xdr:sp>
    <xdr:clientData/>
  </xdr:twoCellAnchor>
  <xdr:twoCellAnchor>
    <xdr:from>
      <xdr:col>13</xdr:col>
      <xdr:colOff>28575</xdr:colOff>
      <xdr:row>27</xdr:row>
      <xdr:rowOff>0</xdr:rowOff>
    </xdr:from>
    <xdr:to>
      <xdr:col>13</xdr:col>
      <xdr:colOff>161925</xdr:colOff>
      <xdr:row>27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172075" y="402907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39</xdr:row>
      <xdr:rowOff>0</xdr:rowOff>
    </xdr:from>
    <xdr:to>
      <xdr:col>13</xdr:col>
      <xdr:colOff>190500</xdr:colOff>
      <xdr:row>42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057525" y="7000875"/>
          <a:ext cx="3962400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AU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Gross margin of $119.1M was $61.6M or 107% favourable to target as a result of a positive price/cost mix variance of $63.3M and a  negative volume variance of $1.7M.  </a:t>
          </a:r>
        </a:p>
        <a:p>
          <a:pPr algn="l" rtl="0">
            <a:defRPr sz="1000"/>
          </a:pPr>
          <a:endParaRPr lang="en-AU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0</xdr:colOff>
      <xdr:row>39</xdr:row>
      <xdr:rowOff>38100</xdr:rowOff>
    </xdr:from>
    <xdr:to>
      <xdr:col>21</xdr:col>
      <xdr:colOff>104775</xdr:colOff>
      <xdr:row>43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7524750" y="7038975"/>
          <a:ext cx="3714750" cy="628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AU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sales revenue of $200.4M  was $69.6M or 35% favourable to budget as a result of a positive price variance of $61.4M and a  positive volume variance of $8.4M.  </a:t>
          </a:r>
        </a:p>
        <a:p>
          <a:pPr algn="l" rtl="0">
            <a:defRPr sz="1000"/>
          </a:pPr>
          <a:endParaRPr lang="en-AU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1152525</xdr:colOff>
      <xdr:row>39</xdr:row>
      <xdr:rowOff>38100</xdr:rowOff>
    </xdr:from>
    <xdr:to>
      <xdr:col>8</xdr:col>
      <xdr:colOff>514350</xdr:colOff>
      <xdr:row>44</xdr:row>
      <xdr:rowOff>47625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1581150" y="7038975"/>
          <a:ext cx="2886075" cy="819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AU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Gross margin of $412.3M was $136.5M or 50% favourable to target as a result of a positive price/cost variance of $123.2M and a  positive volume variance of $13.3M  </a:t>
          </a:r>
        </a:p>
        <a:p>
          <a:pPr algn="l" rtl="0">
            <a:defRPr sz="1000"/>
          </a:pPr>
          <a:endParaRPr lang="en-AU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523875</xdr:colOff>
      <xdr:row>39</xdr:row>
      <xdr:rowOff>152400</xdr:rowOff>
    </xdr:from>
    <xdr:to>
      <xdr:col>15</xdr:col>
      <xdr:colOff>447675</xdr:colOff>
      <xdr:row>45</xdr:row>
      <xdr:rowOff>76200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5838825" y="7153275"/>
          <a:ext cx="2705100" cy="895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AU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sales revenue of $749.3M  was $223.7M or 43% favourable to target as a result of a positive price variance of $141.9M and a  positive volume variance of $81.8M.  </a:t>
          </a:r>
        </a:p>
        <a:p>
          <a:pPr algn="l" rtl="0">
            <a:defRPr sz="1000"/>
          </a:pPr>
          <a:endParaRPr lang="en-AU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52</xdr:row>
      <xdr:rowOff>0</xdr:rowOff>
    </xdr:from>
    <xdr:to>
      <xdr:col>31</xdr:col>
      <xdr:colOff>514350</xdr:colOff>
      <xdr:row>72</xdr:row>
      <xdr:rowOff>114300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</xdr:colOff>
      <xdr:row>52</xdr:row>
      <xdr:rowOff>0</xdr:rowOff>
    </xdr:from>
    <xdr:to>
      <xdr:col>31</xdr:col>
      <xdr:colOff>514350</xdr:colOff>
      <xdr:row>72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obfp01\shared\shared\IPL\PRIVATE\CFG\IPL\2006%20Stat%20Accounts%20-%20Full%20Year\Backup\FINAL\IPL%202006%20AR%20numbers_Sep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_(windows)\zeus_folder\me%20Working%20Data\Work%20in%20Progress\IPL\8400-8499\8467%20Annual%20Report%202006\Text_email\060530\IPL%202006%20AR%20numbers_Mar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X Linked "/>
      <sheetName val="Workings"/>
      <sheetName val="ASX 4E_1,2,7,9,10,11"/>
      <sheetName val="ASX4E_ PL"/>
      <sheetName val="ASX4E_ BS"/>
      <sheetName val="ASX_ES"/>
      <sheetName val="ASX4E_ CF"/>
      <sheetName val="ASX4E_notes1"/>
      <sheetName val="ASX4E_notes1,2"/>
      <sheetName val="ASX4E_6,8"/>
      <sheetName val="ASX4E_ 12,13,13.1"/>
      <sheetName val="ASX4E_13.2a"/>
      <sheetName val="ASX4E_13.2b"/>
      <sheetName val="Income S"/>
      <sheetName val="Balance S"/>
      <sheetName val="Equity"/>
      <sheetName val="Cash Flow"/>
      <sheetName val="index"/>
      <sheetName val="Note 2"/>
      <sheetName val="Notes 4 to 6"/>
      <sheetName val="Note 7"/>
      <sheetName val="Note 8"/>
      <sheetName val="Tax Payable"/>
      <sheetName val="Note 9 to 10"/>
      <sheetName val="Notes 12 to 13"/>
      <sheetName val="Note 14 to 15"/>
      <sheetName val="Note 16"/>
      <sheetName val="Notes 17,19 to 20"/>
      <sheetName val="Note 18"/>
      <sheetName val="Notes 21"/>
      <sheetName val="Note 22"/>
      <sheetName val="Note 24"/>
      <sheetName val="note 25"/>
      <sheetName val="Notes 26 to 27"/>
      <sheetName val="Note 28"/>
      <sheetName val="Note 29"/>
      <sheetName val="Note 30"/>
      <sheetName val="Retrie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 2 (2)"/>
      <sheetName val="GOTO "/>
      <sheetName val="ASX Linked "/>
      <sheetName val="Workings"/>
      <sheetName val="ASX 4E_1,2,7,9,10,11"/>
      <sheetName val="ASX4E_ PL"/>
      <sheetName val="ASX4E_ BS"/>
      <sheetName val="ASX_ES"/>
      <sheetName val="ASX4E_ CF"/>
      <sheetName val="ASX4E_notes1,2"/>
      <sheetName val="ASX4E_6,8"/>
      <sheetName val="ASX4E_ 12,13,13.1"/>
      <sheetName val="ASX4E_13.2a"/>
      <sheetName val="ASX4E_13.2b"/>
      <sheetName val="EPS"/>
      <sheetName val="Perform"/>
      <sheetName val="Position"/>
      <sheetName val="Equity"/>
      <sheetName val="Cash Flow"/>
      <sheetName val="index"/>
      <sheetName val="Note 2"/>
      <sheetName val="Notes 3 to 5"/>
      <sheetName val="Note 8 to 9"/>
      <sheetName val="Note 6 to 7"/>
      <sheetName val="Notes 10 to 12"/>
      <sheetName val="Note 13Old"/>
      <sheetName val="Note 13"/>
      <sheetName val="Note 14"/>
      <sheetName val="Notes 15 to 18"/>
      <sheetName val="Notes 19 to 21"/>
      <sheetName val="note 22"/>
      <sheetName val="Notes 23 to 25"/>
      <sheetName val="Note 26"/>
      <sheetName val="New Note 27 "/>
      <sheetName val="Note 27"/>
      <sheetName val="Retrieve"/>
      <sheetName val="Sheet1"/>
      <sheetName val="Module2"/>
      <sheetName val="IPL 2006 AR numbers_Mar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usobfp01\shared\IPL\PRIVATE\CFG\Reporting\2010%20Act\12%20Sep%2010\Management%20Reporting\Working\Spend%20Sep10.xls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usobfp01\shared\IPL\PRIVATE\CFG\Reporting\2011%20Act\6%20Mar%2011\Management%20Reporting\Working\Cash%20Flow\Spending%20Mar11.xls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IPL/PRIVATE/CFG/IPL/Fixed_assets/Monthly%202009/12%20Sep%2009/Spending%20Sept09.xls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Sheldon" refreshedDate="40456.331367245373" createdVersion="1" refreshedVersion="3" recordCount="391" upgradeOnRefresh="1" xr:uid="{00000000-000A-0000-FFFF-FFFF2A000000}">
  <cacheSource type="worksheet">
    <worksheetSource ref="A1:AB392" sheet="Sep10 Spend" r:id="rId2"/>
  </cacheSource>
  <cacheFields count="28">
    <cacheField name="EPNumber" numFmtId="0">
      <sharedItems containsBlank="1"/>
    </cacheField>
    <cacheField name="BA" numFmtId="0">
      <sharedItems count="8">
        <s v="FERT"/>
        <s v="GIBS"/>
        <s v="PHOS"/>
        <s v="MISA"/>
        <s v="CORP"/>
        <s v="KOOR"/>
        <s v="PINK"/>
        <s v="TSVL"/>
      </sharedItems>
    </cacheField>
    <cacheField name="InternalNo" numFmtId="0">
      <sharedItems containsBlank="1"/>
    </cacheField>
    <cacheField name="Group" numFmtId="0">
      <sharedItems count="12">
        <s v="Southern"/>
        <s v="Big N"/>
        <s v="Northern"/>
        <s v="Brisbane"/>
        <s v="SCO"/>
        <s v="Kooragang"/>
        <s v="Geelong"/>
        <s v="IT"/>
        <s v="Portland"/>
        <s v="Finance"/>
        <s v="Sales &amp; Mark"/>
        <s v="Lab"/>
      </sharedItems>
    </cacheField>
    <cacheField name="Type" numFmtId="0">
      <sharedItems count="12">
        <s v="Sust"/>
        <s v="Ex Leased"/>
        <s v="Shut"/>
        <s v="Spec Sust"/>
        <s v="Spec Maint"/>
        <s v="Growth"/>
        <s v="Asset Ren"/>
        <s v="Software"/>
        <s v="Software / Vel"/>
        <s v="Sust - Extra"/>
        <s v="Velocity"/>
        <s v="Sus" u="1"/>
      </sharedItems>
    </cacheField>
    <cacheField name="Description" numFmtId="0">
      <sharedItems/>
    </cacheField>
    <cacheField name="IR" numFmtId="0">
      <sharedItems containsBlank="1" containsMixedTypes="1" containsNumber="1" containsInteger="1" minValue="0" maxValue="0" count="14">
        <m/>
        <n v="0"/>
        <s v="RE"/>
        <s v="SU"/>
        <s v="QU"/>
        <s v="SH"/>
        <s v="CS"/>
        <s v="EE"/>
        <s v="EN"/>
        <s v="HW"/>
        <s v="SW"/>
        <s v="AC"/>
        <s v="CR"/>
        <s v="SO"/>
      </sharedItems>
    </cacheField>
    <cacheField name="EPAmount" numFmtId="0">
      <sharedItems containsString="0" containsBlank="1" containsNumber="1" containsInteger="1" minValue="0" maxValue="20432000"/>
    </cacheField>
    <cacheField name="CurrentYear" numFmtId="0">
      <sharedItems containsSemiMixedTypes="0" containsString="0" containsNumber="1" minValue="-365465.33" maxValue="39982771.920000002"/>
    </cacheField>
    <cacheField name="CurrentMonth" numFmtId="0">
      <sharedItems containsString="0" containsBlank="1" containsNumber="1" minValue="-586146.96" maxValue="924203.83"/>
    </cacheField>
    <cacheField name="PriorYear" numFmtId="0">
      <sharedItems containsString="0" containsBlank="1" containsNumber="1" minValue="0" maxValue="9595410.8100000005"/>
    </cacheField>
    <cacheField name="Total" numFmtId="0">
      <sharedItems containsString="0" containsBlank="1" containsNumber="1" minValue="-3350" maxValue="47661929.810000002"/>
    </cacheField>
    <cacheField name="FirstName" numFmtId="0">
      <sharedItems containsBlank="1"/>
    </cacheField>
    <cacheField name="LastName" numFmtId="0">
      <sharedItems containsBlank="1"/>
    </cacheField>
    <cacheField name="Center" numFmtId="0">
      <sharedItems containsBlank="1"/>
    </cacheField>
    <cacheField name="ApprovedOn" numFmtId="0">
      <sharedItems containsDate="1" containsString="0" containsBlank="1" minDate="1899-12-30T00:00:00" maxDate="2010-09-25T00:00:00"/>
    </cacheField>
    <cacheField name="Site" numFmtId="0">
      <sharedItems containsBlank="1" count="30">
        <m/>
        <s v="Gibson Island"/>
        <s v="Mt. Isa"/>
        <s v="Phosphate Hill"/>
        <s v="Mt Isa"/>
        <s v="Townsville"/>
        <s v="QLD Manufacturing"/>
        <s v="Distribution Northern - Q"/>
        <s v="Distribution Southern - S"/>
        <s v="Manufacturing KI"/>
        <s v="Pinkenba PDC"/>
        <s v="Geelong Manufacturing"/>
        <s v="IT"/>
        <s v="Portland Manufacturing"/>
        <s v="Finance"/>
        <s v="Sales / Customer Service"/>
        <s v="Tasmania Logistics"/>
        <s v="Phos Hill Manufacturing"/>
        <s v="Amm - Big N Dist - Depot"/>
        <s v="Townsville Port"/>
        <s v="Laboratory Services"/>
        <s v="Portland PDC"/>
        <s v="Geelong PDC"/>
        <s v="Townsville PDC"/>
        <s v="Kooragang Island PDC"/>
        <s v="Distribution Southern - V"/>
        <s v="Marketing - Vic"/>
        <s v="IT - Sust"/>
        <s v="Finance - Soft"/>
        <s v="Transformation"/>
      </sharedItems>
    </cacheField>
    <cacheField name="State" numFmtId="0">
      <sharedItems containsBlank="1" count="6">
        <m/>
        <s v="Queensland"/>
        <s v="South Australia"/>
        <s v="New South Wales"/>
        <s v="Victoria"/>
        <s v="Tasmania"/>
      </sharedItems>
    </cacheField>
    <cacheField name="PlantPct" numFmtId="0">
      <sharedItems containsString="0" containsBlank="1" containsNumber="1" containsInteger="1" minValue="0" maxValue="100" count="10">
        <n v="0"/>
        <m/>
        <n v="100"/>
        <n v="82"/>
        <n v="86"/>
        <n v="5"/>
        <n v="99"/>
        <n v="74"/>
        <n v="6"/>
        <n v="41"/>
      </sharedItems>
    </cacheField>
    <cacheField name="BuildingPct" numFmtId="0">
      <sharedItems containsString="0" containsBlank="1" containsNumber="1" containsInteger="1" minValue="0" maxValue="100" count="10">
        <n v="0"/>
        <m/>
        <n v="100"/>
        <n v="18"/>
        <n v="14"/>
        <n v="95"/>
        <n v="1"/>
        <n v="26"/>
        <n v="94"/>
        <n v="59"/>
      </sharedItems>
    </cacheField>
    <cacheField name="LandPct" numFmtId="0">
      <sharedItems containsString="0" containsBlank="1" containsNumber="1" containsInteger="1" minValue="0" maxValue="100" count="3">
        <n v="0"/>
        <m/>
        <n v="100"/>
      </sharedItems>
    </cacheField>
    <cacheField name="Include" numFmtId="0">
      <sharedItems containsBlank="1" count="3">
        <m/>
        <s v="Y"/>
        <s v="N"/>
      </sharedItems>
    </cacheField>
    <cacheField name="ReportCat" numFmtId="0">
      <sharedItems count="2">
        <s v="Current Year"/>
        <s v="Prior Year"/>
      </sharedItems>
    </cacheField>
    <cacheField name="Transfer" numFmtId="0">
      <sharedItems count="1">
        <s v="N"/>
      </sharedItems>
    </cacheField>
    <cacheField name="Expansion" numFmtId="0">
      <sharedItems count="2">
        <s v="N"/>
        <s v="Y"/>
      </sharedItems>
    </cacheField>
    <cacheField name="MajorEP" numFmtId="0">
      <sharedItems count="2">
        <s v="N"/>
        <s v="Y"/>
      </sharedItems>
    </cacheField>
    <cacheField name="Curr" numFmtId="0">
      <sharedItems count="2">
        <s v="Y"/>
        <s v="N"/>
      </sharedItems>
    </cacheField>
    <cacheField name="ThisQuarter" numFmtId="0">
      <sharedItems containsString="0" containsBlank="1" containsNumber="1" minValue="-366014.3" maxValue="1904542.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Sheldon" refreshedDate="40634.773395486111" createdVersion="1" refreshedVersion="3" recordCount="257" xr:uid="{00000000-000A-0000-FFFF-FFFF2B000000}">
  <cacheSource type="worksheet">
    <worksheetSource ref="A1:AE258" sheet="Mar Spend" r:id="rId2"/>
  </cacheSource>
  <cacheFields count="31">
    <cacheField name="EPNumber" numFmtId="0">
      <sharedItems containsBlank="1"/>
    </cacheField>
    <cacheField name="BA" numFmtId="0">
      <sharedItems containsBlank="1" count="10">
        <s v="CCRK"/>
        <s v="PHOS"/>
        <s v="MISA"/>
        <s v="CORP"/>
        <m/>
        <s v="TSVL"/>
        <s v="GIBS"/>
        <s v="FERT"/>
        <s v="KOOR"/>
        <s v="PINK"/>
      </sharedItems>
    </cacheField>
    <cacheField name="InternalNo" numFmtId="0">
      <sharedItems/>
    </cacheField>
    <cacheField name="Group" numFmtId="0">
      <sharedItems count="13">
        <s v="Moranbah"/>
        <s v="SCO"/>
        <s v="Brisbane"/>
        <s v="Northern"/>
        <s v="Portland"/>
        <s v="Kooragang"/>
        <s v="Geelong"/>
        <s v="Southern"/>
        <s v="IT &amp; Finance"/>
        <s v="Lab"/>
        <s v="Sales &amp; Mark"/>
        <s v="Finance"/>
        <s v="Big N"/>
      </sharedItems>
    </cacheField>
    <cacheField name="Type" numFmtId="0">
      <sharedItems count="7">
        <s v="Growth"/>
        <s v="Sust"/>
        <s v="Shut"/>
        <s v="Velocity"/>
        <s v="Asset Ren"/>
        <s v="Software / Velocity"/>
        <s v="Software"/>
      </sharedItems>
    </cacheField>
    <cacheField name="Description" numFmtId="0">
      <sharedItems/>
    </cacheField>
    <cacheField name="IR" numFmtId="0">
      <sharedItems containsBlank="1" count="13">
        <m/>
        <s v="QU"/>
        <s v="SH"/>
        <s v="SU"/>
        <s v="CS"/>
        <s v="RE"/>
        <s v="EE"/>
        <s v="CR"/>
        <s v="HW"/>
        <s v="EN"/>
        <s v="SW"/>
        <s v="AC"/>
        <s v="SO"/>
      </sharedItems>
    </cacheField>
    <cacheField name="Coy" numFmtId="0">
      <sharedItems containsBlank="1" count="2">
        <s v="IN01"/>
        <m/>
      </sharedItems>
    </cacheField>
    <cacheField name="EPAmount" numFmtId="0">
      <sharedItems containsString="0" containsBlank="1" containsNumber="1" containsInteger="1" minValue="0" maxValue="20432000"/>
    </cacheField>
    <cacheField name="CurrentYear" numFmtId="0">
      <sharedItems containsSemiMixedTypes="0" containsString="0" containsNumber="1" minValue="-399351.03999999998" maxValue="23113215.530000001"/>
    </cacheField>
    <cacheField name="CurrentMonth" numFmtId="0">
      <sharedItems containsString="0" containsBlank="1" containsNumber="1" minValue="-117000" maxValue="14686280.720000001"/>
    </cacheField>
    <cacheField name="PriorYear" numFmtId="0">
      <sharedItems containsString="0" containsBlank="1" containsNumber="1" minValue="0" maxValue="5723175.1399999997"/>
    </cacheField>
    <cacheField name="Total" numFmtId="0">
      <sharedItems containsString="0" containsBlank="1" containsNumber="1" minValue="-35347" maxValue="27636935.82"/>
    </cacheField>
    <cacheField name="FirstName" numFmtId="0">
      <sharedItems containsBlank="1"/>
    </cacheField>
    <cacheField name="LastName" numFmtId="0">
      <sharedItems containsBlank="1"/>
    </cacheField>
    <cacheField name="BudgetYear" numFmtId="0">
      <sharedItems containsString="0" containsBlank="1" containsNumber="1" containsInteger="1" minValue="0" maxValue="2011" count="7">
        <n v="0"/>
        <n v="2007"/>
        <n v="2008"/>
        <n v="2009"/>
        <m/>
        <n v="2010"/>
        <n v="2011"/>
      </sharedItems>
    </cacheField>
    <cacheField name="Center" numFmtId="0">
      <sharedItems containsBlank="1"/>
    </cacheField>
    <cacheField name="ApprovedOn" numFmtId="0">
      <sharedItems containsDate="1" containsString="0" containsBlank="1" minDate="1899-12-30T00:00:00" maxDate="2011-03-19T00:00:00"/>
    </cacheField>
    <cacheField name="Site" numFmtId="0">
      <sharedItems containsBlank="1"/>
    </cacheField>
    <cacheField name="State" numFmtId="0">
      <sharedItems containsBlank="1" count="7">
        <s v="Queensland"/>
        <m/>
        <s v="Victoria"/>
        <s v="New South Wales"/>
        <s v="South Australia"/>
        <s v="Tasmania"/>
        <s v="Queesnsland"/>
      </sharedItems>
    </cacheField>
    <cacheField name="Region" numFmtId="0">
      <sharedItems containsBlank="1" count="2">
        <m/>
        <s v="Australia"/>
      </sharedItems>
    </cacheField>
    <cacheField name="PlantPct" numFmtId="0">
      <sharedItems containsString="0" containsBlank="1" containsNumber="1" containsInteger="1" minValue="0" maxValue="100" count="9">
        <n v="0"/>
        <n v="100"/>
        <m/>
        <n v="86"/>
        <n v="5"/>
        <n v="99"/>
        <n v="74"/>
        <n v="6"/>
        <n v="41"/>
      </sharedItems>
    </cacheField>
    <cacheField name="BuildingPct" numFmtId="0">
      <sharedItems containsString="0" containsBlank="1" containsNumber="1" containsInteger="1" minValue="0" maxValue="100" count="9">
        <n v="100"/>
        <n v="0"/>
        <m/>
        <n v="14"/>
        <n v="95"/>
        <n v="1"/>
        <n v="26"/>
        <n v="94"/>
        <n v="59"/>
      </sharedItems>
    </cacheField>
    <cacheField name="LandPct" numFmtId="0">
      <sharedItems containsString="0" containsBlank="1" containsNumber="1" containsInteger="1" minValue="0" maxValue="100" count="3">
        <n v="0"/>
        <m/>
        <n v="100"/>
      </sharedItems>
    </cacheField>
    <cacheField name="Include" numFmtId="0">
      <sharedItems containsBlank="1" count="3">
        <m/>
        <s v="Y"/>
        <s v="N"/>
      </sharedItems>
    </cacheField>
    <cacheField name="ReportCat" numFmtId="0">
      <sharedItems containsBlank="1" count="4">
        <s v="Current Year"/>
        <s v="Unknown"/>
        <s v="Prior Year"/>
        <m/>
      </sharedItems>
    </cacheField>
    <cacheField name="Transfer" numFmtId="0">
      <sharedItems containsBlank="1" count="2">
        <s v="N"/>
        <m/>
      </sharedItems>
    </cacheField>
    <cacheField name="Expansion" numFmtId="0">
      <sharedItems containsBlank="1" count="3">
        <s v="N"/>
        <m/>
        <s v="Y"/>
      </sharedItems>
    </cacheField>
    <cacheField name="MajorEP" numFmtId="0">
      <sharedItems containsBlank="1" count="3">
        <s v="N"/>
        <m/>
        <s v="Y"/>
      </sharedItems>
    </cacheField>
    <cacheField name="Curr" numFmtId="0">
      <sharedItems containsBlank="1" count="3">
        <s v="N"/>
        <m/>
        <s v="Y"/>
      </sharedItems>
    </cacheField>
    <cacheField name="ThisQuarter" numFmtId="0">
      <sharedItems containsSemiMixedTypes="0" containsString="0" containsNumber="1" minValue="-399351.03999999998" maxValue="19931856.26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sheldon" refreshedDate="40088.720871759258" createdVersion="1" refreshedVersion="3" recordCount="317" xr:uid="{00000000-000A-0000-FFFF-FFFF2C000000}">
  <cacheSource type="worksheet">
    <worksheetSource ref="A1:AC318" sheet="Sept09" r:id="rId2"/>
  </cacheSource>
  <cacheFields count="29">
    <cacheField name="EPNumber" numFmtId="0">
      <sharedItems containsBlank="1"/>
    </cacheField>
    <cacheField name="BA" numFmtId="0">
      <sharedItems containsBlank="1" count="10">
        <s v="PHOS"/>
        <s v="GIBS"/>
        <s v="FERT"/>
        <s v="MISA"/>
        <m/>
        <s v="CORP"/>
        <s v="KOOR"/>
        <s v="PINK"/>
        <s v="CCRK"/>
        <s v="TSVL"/>
      </sharedItems>
    </cacheField>
    <cacheField name="InternalNo" numFmtId="0">
      <sharedItems containsBlank="1"/>
    </cacheField>
    <cacheField name="Group" numFmtId="0">
      <sharedItems count="11">
        <s v="SCO"/>
        <s v="Brisbane"/>
        <s v="Central"/>
        <s v="Northern"/>
        <s v="Geelong"/>
        <s v="Finance"/>
        <s v="Supply Chain"/>
        <s v="Southern"/>
        <s v="Overheads"/>
        <s v="Portland"/>
        <s v="Sales &amp; Mark"/>
      </sharedItems>
    </cacheField>
    <cacheField name="Type" numFmtId="0">
      <sharedItems count="10">
        <s v="Sust"/>
        <s v="Shut"/>
        <s v="Spec Sust"/>
        <s v="Spec Maint"/>
        <s v="Asset Ren"/>
        <s v="Growth"/>
        <s v="IT"/>
        <s v="Software"/>
        <s v="Other"/>
        <s v="Spare"/>
      </sharedItems>
    </cacheField>
    <cacheField name="Description" numFmtId="0">
      <sharedItems/>
    </cacheField>
    <cacheField name="IR" numFmtId="0">
      <sharedItems containsBlank="1" count="12">
        <m/>
        <s v="RE"/>
        <s v="EE"/>
        <s v="SH"/>
        <s v="SU"/>
        <s v="QU"/>
        <s v="CS"/>
        <s v="CR"/>
        <s v="EN"/>
        <s v="HW"/>
        <s v="SW"/>
        <s v="AC"/>
      </sharedItems>
    </cacheField>
    <cacheField name="Coy" numFmtId="0">
      <sharedItems containsBlank="1" count="2">
        <s v="IN01"/>
        <m/>
      </sharedItems>
    </cacheField>
    <cacheField name="EPAmount" numFmtId="0">
      <sharedItems containsString="0" containsBlank="1" containsNumber="1" containsInteger="1" minValue="0" maxValue="15805600"/>
    </cacheField>
    <cacheField name="CurrentYear" numFmtId="0">
      <sharedItems containsString="0" containsBlank="1" containsNumber="1" minValue="-4140472.13" maxValue="6509794.0999999996"/>
    </cacheField>
    <cacheField name="CurrentMonth" numFmtId="0">
      <sharedItems containsString="0" containsBlank="1" containsNumber="1" minValue="-1846600.05" maxValue="823978.72"/>
    </cacheField>
    <cacheField name="PriorYear" numFmtId="0">
      <sharedItems containsString="0" containsBlank="1" containsNumber="1" minValue="0" maxValue="9599727.6799999997"/>
    </cacheField>
    <cacheField name="Total" numFmtId="0">
      <sharedItems containsString="0" containsBlank="1" containsNumber="1" minValue="-1846600.05" maxValue="9595410.8100000005"/>
    </cacheField>
    <cacheField name="FirstName" numFmtId="0">
      <sharedItems containsBlank="1"/>
    </cacheField>
    <cacheField name="LastName" numFmtId="0">
      <sharedItems containsBlank="1"/>
    </cacheField>
    <cacheField name="Center" numFmtId="0">
      <sharedItems containsBlank="1"/>
    </cacheField>
    <cacheField name="Site" numFmtId="0">
      <sharedItems containsBlank="1" count="29">
        <m/>
        <s v="Gibson Island"/>
        <s v="Gunnedah"/>
        <s v="Phosphate Hill"/>
        <s v="Mt. Isa"/>
        <s v="Mackay"/>
        <s v="Mt Isa"/>
        <s v="Townsville"/>
        <s v="QLD Manufacturing"/>
        <s v="Amm - Big N Dist - Depot"/>
        <s v="Geelong Manufacturing"/>
        <s v="IT"/>
        <s v="Manufacturing KI"/>
        <s v="Distribution Northern - Q"/>
        <s v="Distribution Southern - S"/>
        <s v="Geelong PDC"/>
        <s v="Pinkenba PDC"/>
        <s v="Manufacturing CCRK"/>
        <s v="Laboratory &amp; HSEC"/>
        <s v="Werribee"/>
        <s v="Marketing &amp; Ag Services -"/>
        <s v="Portland PDC"/>
        <s v="Portland Manufacturing"/>
        <s v="Finance"/>
        <s v="Treasury"/>
        <s v="Sales / Customer Service"/>
        <s v="Tasmania Logistics"/>
        <s v="Phos Hill Manufacturing"/>
        <s v="Portland"/>
      </sharedItems>
    </cacheField>
    <cacheField name="State" numFmtId="0">
      <sharedItems containsBlank="1" count="6">
        <m/>
        <s v="Queensland"/>
        <s v="New South Wales"/>
        <s v="South Australia"/>
        <s v="Victoria"/>
        <s v="Tasmania"/>
      </sharedItems>
    </cacheField>
    <cacheField name="Region" numFmtId="0">
      <sharedItems containsBlank="1" count="2">
        <m/>
        <s v="Australia"/>
      </sharedItems>
    </cacheField>
    <cacheField name="PlantPct" numFmtId="0">
      <sharedItems containsSemiMixedTypes="0" containsString="0" containsNumber="1" containsInteger="1" minValue="0" maxValue="100" count="6">
        <n v="0"/>
        <n v="100"/>
        <n v="90"/>
        <n v="82"/>
        <n v="86"/>
        <n v="8"/>
      </sharedItems>
    </cacheField>
    <cacheField name="BuildingPct" numFmtId="0">
      <sharedItems containsString="0" containsBlank="1" containsNumber="1" containsInteger="1" minValue="0" maxValue="100" count="6">
        <n v="0"/>
        <m/>
        <n v="100"/>
        <n v="18"/>
        <n v="14"/>
        <n v="92"/>
      </sharedItems>
    </cacheField>
    <cacheField name="LandPct" numFmtId="0">
      <sharedItems containsString="0" containsBlank="1" containsNumber="1" containsInteger="1" minValue="0" maxValue="100" count="4">
        <n v="0"/>
        <m/>
        <n v="100"/>
        <n v="10"/>
      </sharedItems>
    </cacheField>
    <cacheField name="Include" numFmtId="0">
      <sharedItems containsBlank="1" count="3">
        <m/>
        <s v="N"/>
        <s v="Y"/>
      </sharedItems>
    </cacheField>
    <cacheField name="ReportCat" numFmtId="0">
      <sharedItems count="2">
        <s v="Prior Year"/>
        <s v="Current Year"/>
      </sharedItems>
    </cacheField>
    <cacheField name="Transfer" numFmtId="0">
      <sharedItems containsBlank="1" count="2">
        <s v="N"/>
        <m/>
      </sharedItems>
    </cacheField>
    <cacheField name="Expansion" numFmtId="0">
      <sharedItems count="2">
        <s v="N"/>
        <s v="Y"/>
      </sharedItems>
    </cacheField>
    <cacheField name="MajorEP" numFmtId="0">
      <sharedItems count="2">
        <s v="N"/>
        <s v="Y"/>
      </sharedItems>
    </cacheField>
    <cacheField name="Curr" numFmtId="0">
      <sharedItems count="2">
        <s v="N"/>
        <s v="Y"/>
      </sharedItems>
    </cacheField>
    <cacheField name="ThisQuarter" numFmtId="0">
      <sharedItems containsString="0" containsBlank="1" containsNumber="1" minValue="-6724857.3799999999" maxValue="2395736.52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1">
  <r>
    <s v="Blank"/>
    <x v="0"/>
    <s v="ISO10007"/>
    <x v="0"/>
    <x v="0"/>
    <s v="Unknown"/>
    <x v="0"/>
    <n v="0"/>
    <n v="10096.490000000107"/>
    <n v="0"/>
    <n v="0"/>
    <n v="0"/>
    <m/>
    <m/>
    <m/>
    <m/>
    <x v="0"/>
    <x v="0"/>
    <x v="0"/>
    <x v="0"/>
    <x v="0"/>
    <x v="0"/>
    <x v="0"/>
    <x v="0"/>
    <x v="0"/>
    <x v="0"/>
    <x v="0"/>
    <n v="10096.49"/>
  </r>
  <r>
    <m/>
    <x v="0"/>
    <m/>
    <x v="0"/>
    <x v="1"/>
    <s v="Lara - Items not going to be be leased"/>
    <x v="0"/>
    <m/>
    <n v="270257.62999999995"/>
    <n v="0"/>
    <n v="0"/>
    <n v="270257.63"/>
    <m/>
    <m/>
    <m/>
    <m/>
    <x v="0"/>
    <x v="0"/>
    <x v="0"/>
    <x v="0"/>
    <x v="0"/>
    <x v="0"/>
    <x v="0"/>
    <x v="0"/>
    <x v="0"/>
    <x v="0"/>
    <x v="0"/>
    <m/>
  </r>
  <r>
    <m/>
    <x v="0"/>
    <m/>
    <x v="1"/>
    <x v="1"/>
    <s v="Colonsay"/>
    <x v="0"/>
    <m/>
    <n v="69896.460000000006"/>
    <n v="0"/>
    <n v="0"/>
    <n v="69896.460000000006"/>
    <m/>
    <m/>
    <m/>
    <m/>
    <x v="0"/>
    <x v="0"/>
    <x v="0"/>
    <x v="0"/>
    <x v="0"/>
    <x v="0"/>
    <x v="0"/>
    <x v="0"/>
    <x v="0"/>
    <x v="0"/>
    <x v="0"/>
    <m/>
  </r>
  <r>
    <m/>
    <x v="0"/>
    <m/>
    <x v="2"/>
    <x v="1"/>
    <s v="Cairns, Mackay - Items not going to be leased"/>
    <x v="0"/>
    <m/>
    <n v="639556"/>
    <m/>
    <m/>
    <n v="639556"/>
    <m/>
    <m/>
    <m/>
    <m/>
    <x v="0"/>
    <x v="0"/>
    <x v="0"/>
    <x v="0"/>
    <x v="0"/>
    <x v="0"/>
    <x v="0"/>
    <x v="0"/>
    <x v="0"/>
    <x v="0"/>
    <x v="0"/>
    <m/>
  </r>
  <r>
    <m/>
    <x v="0"/>
    <m/>
    <x v="2"/>
    <x v="1"/>
    <s v="Tsvl FEL Ex leased - Bought / Sold"/>
    <x v="0"/>
    <m/>
    <n v="65000"/>
    <m/>
    <m/>
    <n v="65000"/>
    <m/>
    <m/>
    <m/>
    <m/>
    <x v="0"/>
    <x v="0"/>
    <x v="0"/>
    <x v="0"/>
    <x v="0"/>
    <x v="0"/>
    <x v="0"/>
    <x v="0"/>
    <x v="0"/>
    <x v="0"/>
    <x v="0"/>
    <m/>
  </r>
  <r>
    <m/>
    <x v="1"/>
    <m/>
    <x v="3"/>
    <x v="1"/>
    <s v="Items not going to be leased"/>
    <x v="1"/>
    <m/>
    <n v="118799"/>
    <n v="0"/>
    <n v="0"/>
    <n v="118799"/>
    <m/>
    <m/>
    <m/>
    <m/>
    <x v="0"/>
    <x v="0"/>
    <x v="0"/>
    <x v="0"/>
    <x v="0"/>
    <x v="0"/>
    <x v="0"/>
    <x v="0"/>
    <x v="0"/>
    <x v="0"/>
    <x v="0"/>
    <m/>
  </r>
  <r>
    <m/>
    <x v="2"/>
    <m/>
    <x v="4"/>
    <x v="1"/>
    <s v="Items not going to be leased"/>
    <x v="1"/>
    <m/>
    <n v="758823"/>
    <m/>
    <n v="0"/>
    <n v="846909"/>
    <m/>
    <m/>
    <m/>
    <m/>
    <x v="0"/>
    <x v="0"/>
    <x v="1"/>
    <x v="1"/>
    <x v="1"/>
    <x v="0"/>
    <x v="0"/>
    <x v="0"/>
    <x v="0"/>
    <x v="0"/>
    <x v="0"/>
    <m/>
  </r>
  <r>
    <m/>
    <x v="2"/>
    <m/>
    <x v="4"/>
    <x v="0"/>
    <s v="SPP10015"/>
    <x v="0"/>
    <m/>
    <n v="147750"/>
    <n v="147750"/>
    <m/>
    <m/>
    <m/>
    <m/>
    <m/>
    <m/>
    <x v="0"/>
    <x v="0"/>
    <x v="1"/>
    <x v="1"/>
    <x v="1"/>
    <x v="0"/>
    <x v="0"/>
    <x v="0"/>
    <x v="0"/>
    <x v="0"/>
    <x v="0"/>
    <n v="147750"/>
  </r>
  <r>
    <s v="Blank"/>
    <x v="3"/>
    <s v="SMS10009"/>
    <x v="4"/>
    <x v="0"/>
    <s v="Unknown"/>
    <x v="0"/>
    <n v="0"/>
    <n v="-3350"/>
    <n v="-3350"/>
    <n v="0"/>
    <n v="-3350"/>
    <m/>
    <m/>
    <m/>
    <d v="1899-12-30T00:00:00"/>
    <x v="0"/>
    <x v="0"/>
    <x v="0"/>
    <x v="0"/>
    <x v="0"/>
    <x v="0"/>
    <x v="0"/>
    <x v="0"/>
    <x v="0"/>
    <x v="0"/>
    <x v="0"/>
    <n v="-3350"/>
  </r>
  <r>
    <s v="CG97064"/>
    <x v="1"/>
    <s v="CG97064"/>
    <x v="3"/>
    <x v="0"/>
    <s v="Unknown - 605359 IGA08002"/>
    <x v="0"/>
    <n v="0"/>
    <n v="21915.15"/>
    <n v="0"/>
    <n v="0"/>
    <n v="21915.15"/>
    <m/>
    <m/>
    <m/>
    <d v="1899-12-30T00:00:00"/>
    <x v="0"/>
    <x v="0"/>
    <x v="0"/>
    <x v="0"/>
    <x v="0"/>
    <x v="0"/>
    <x v="1"/>
    <x v="0"/>
    <x v="0"/>
    <x v="0"/>
    <x v="1"/>
    <n v="21915.15"/>
  </r>
  <r>
    <s v="G0600116"/>
    <x v="1"/>
    <s v="ICAPGA06035"/>
    <x v="3"/>
    <x v="0"/>
    <s v="Ammonia Storage Refrigeration Plant Upgrade- Stg1"/>
    <x v="2"/>
    <n v="2208907"/>
    <n v="-226008.43"/>
    <n v="0"/>
    <n v="2433945.48"/>
    <n v="2207937.0499999998"/>
    <s v="Kevin"/>
    <s v="Martin"/>
    <s v="GOA11"/>
    <d v="2006-05-29T00:00:00"/>
    <x v="1"/>
    <x v="1"/>
    <x v="2"/>
    <x v="0"/>
    <x v="0"/>
    <x v="1"/>
    <x v="1"/>
    <x v="0"/>
    <x v="0"/>
    <x v="1"/>
    <x v="1"/>
    <n v="-14325.94"/>
  </r>
  <r>
    <s v="G0700011"/>
    <x v="3"/>
    <s v="SMI07007"/>
    <x v="4"/>
    <x v="2"/>
    <s v="Mt Isa - 2007 Shutdown (long Lead Items)"/>
    <x v="3"/>
    <n v="2100000"/>
    <n v="15011.18"/>
    <n v="0"/>
    <n v="9595410.8100000005"/>
    <n v="9610421.9900000002"/>
    <s v="Mark"/>
    <s v="Samuels"/>
    <s v="SMS01"/>
    <d v="2007-07-19T00:00:00"/>
    <x v="2"/>
    <x v="1"/>
    <x v="2"/>
    <x v="0"/>
    <x v="0"/>
    <x v="1"/>
    <x v="1"/>
    <x v="0"/>
    <x v="0"/>
    <x v="1"/>
    <x v="1"/>
    <n v="-8112.58"/>
  </r>
  <r>
    <s v="G0700017"/>
    <x v="3"/>
    <s v="SCF07504"/>
    <x v="4"/>
    <x v="0"/>
    <s v="Spare - So2 Blower Motor - Stage 1"/>
    <x v="4"/>
    <n v="139000"/>
    <n v="39133"/>
    <n v="0"/>
    <n v="609945.73"/>
    <n v="649078.73"/>
    <s v="Mark"/>
    <s v="Poli"/>
    <s v="SMS01"/>
    <d v="2007-08-02T00:00:00"/>
    <x v="2"/>
    <x v="1"/>
    <x v="2"/>
    <x v="0"/>
    <x v="0"/>
    <x v="1"/>
    <x v="1"/>
    <x v="0"/>
    <x v="0"/>
    <x v="0"/>
    <x v="1"/>
    <n v="270"/>
  </r>
  <r>
    <s v="G07SC018"/>
    <x v="3"/>
    <s v="SCF07513"/>
    <x v="4"/>
    <x v="2"/>
    <s v="Sulphur Furnace Bypass Damper (repl)"/>
    <x v="2"/>
    <n v="463000"/>
    <n v="-352569.02"/>
    <n v="0"/>
    <n v="352569.02"/>
    <n v="0"/>
    <s v="Stephen"/>
    <s v="Miller"/>
    <s v="SMS01"/>
    <d v="2007-05-05T00:00:00"/>
    <x v="2"/>
    <x v="1"/>
    <x v="2"/>
    <x v="0"/>
    <x v="0"/>
    <x v="1"/>
    <x v="1"/>
    <x v="0"/>
    <x v="0"/>
    <x v="0"/>
    <x v="1"/>
    <n v="-366014.3"/>
  </r>
  <r>
    <s v="G07SC018"/>
    <x v="3"/>
    <s v="SCF07513"/>
    <x v="4"/>
    <x v="2"/>
    <s v="Sulphur Furnace Bypass Damper  - Spares Adj"/>
    <x v="1"/>
    <m/>
    <n v="366014.3"/>
    <m/>
    <n v="0"/>
    <m/>
    <s v="Stephen"/>
    <s v="Miller"/>
    <s v="SMS01"/>
    <m/>
    <x v="2"/>
    <x v="1"/>
    <x v="2"/>
    <x v="0"/>
    <x v="0"/>
    <x v="1"/>
    <x v="1"/>
    <x v="0"/>
    <x v="0"/>
    <x v="0"/>
    <x v="1"/>
    <n v="366014.3"/>
  </r>
  <r>
    <s v="G07SC030"/>
    <x v="3"/>
    <s v="SCF07503"/>
    <x v="4"/>
    <x v="2"/>
    <s v="Fat Acid Cooler Upgr"/>
    <x v="4"/>
    <n v="2560000"/>
    <n v="81480.23"/>
    <n v="0"/>
    <n v="2266603.67"/>
    <n v="2348083.9"/>
    <s v="Stephen"/>
    <s v="Miller"/>
    <s v="SMS01"/>
    <d v="2007-05-10T00:00:00"/>
    <x v="2"/>
    <x v="1"/>
    <x v="2"/>
    <x v="0"/>
    <x v="0"/>
    <x v="2"/>
    <x v="1"/>
    <x v="0"/>
    <x v="0"/>
    <x v="1"/>
    <x v="1"/>
    <n v="0"/>
  </r>
  <r>
    <s v="G0800003"/>
    <x v="2"/>
    <s v="SPO08001"/>
    <x v="4"/>
    <x v="0"/>
    <s v="Monument Aerodrome Pavement (upgr) Stage 1"/>
    <x v="3"/>
    <n v="4090000"/>
    <n v="2437.5"/>
    <n v="0"/>
    <n v="4971668.32"/>
    <n v="4974105.82"/>
    <s v="Grant"/>
    <s v="Armstrong"/>
    <s v="SPZ01"/>
    <d v="2007-11-02T00:00:00"/>
    <x v="3"/>
    <x v="1"/>
    <x v="0"/>
    <x v="0"/>
    <x v="2"/>
    <x v="1"/>
    <x v="1"/>
    <x v="0"/>
    <x v="0"/>
    <x v="1"/>
    <x v="1"/>
    <n v="0"/>
  </r>
  <r>
    <s v="G0800008"/>
    <x v="2"/>
    <s v="SPP08002"/>
    <x v="4"/>
    <x v="0"/>
    <s v="Gypsum Stack Feed Pumps - Galnd Seal Water System"/>
    <x v="4"/>
    <n v="7400000"/>
    <n v="-7786.8"/>
    <n v="0"/>
    <n v="8135533.5700000003"/>
    <n v="8127746.7699999996"/>
    <s v="Scott"/>
    <s v="Costabeber"/>
    <s v="SPP01"/>
    <d v="2008-01-06T00:00:00"/>
    <x v="3"/>
    <x v="1"/>
    <x v="2"/>
    <x v="0"/>
    <x v="0"/>
    <x v="1"/>
    <x v="1"/>
    <x v="0"/>
    <x v="0"/>
    <x v="1"/>
    <x v="1"/>
    <n v="-7786.8"/>
  </r>
  <r>
    <s v="G0800021"/>
    <x v="2"/>
    <s v="SPA08012"/>
    <x v="4"/>
    <x v="3"/>
    <s v="Aspen Tech Pilot Advanced Process Control"/>
    <x v="4"/>
    <n v="168000"/>
    <n v="8278.2000000000007"/>
    <n v="0"/>
    <n v="227353.09"/>
    <n v="235631.29"/>
    <s v="Kobus"/>
    <s v="Kirsten"/>
    <s v="SPA01"/>
    <d v="2008-03-12T00:00:00"/>
    <x v="3"/>
    <x v="1"/>
    <x v="2"/>
    <x v="0"/>
    <x v="0"/>
    <x v="1"/>
    <x v="1"/>
    <x v="0"/>
    <x v="0"/>
    <x v="0"/>
    <x v="1"/>
    <n v="0"/>
  </r>
  <r>
    <s v="G0800028"/>
    <x v="2"/>
    <s v="ICAPPP08002"/>
    <x v="4"/>
    <x v="0"/>
    <s v="Hh Filter Belt A Carry Belt &amp; Curbing"/>
    <x v="2"/>
    <n v="558000"/>
    <n v="365307.73"/>
    <n v="0"/>
    <n v="0"/>
    <n v="365307.73"/>
    <s v="Gavin"/>
    <s v="Blaik"/>
    <s v="SPP01"/>
    <d v="2008-04-09T00:00:00"/>
    <x v="3"/>
    <x v="1"/>
    <x v="2"/>
    <x v="0"/>
    <x v="0"/>
    <x v="2"/>
    <x v="1"/>
    <x v="0"/>
    <x v="0"/>
    <x v="0"/>
    <x v="1"/>
    <n v="365307.73"/>
  </r>
  <r>
    <s v="G0800038"/>
    <x v="2"/>
    <s v="SPP08020"/>
    <x v="4"/>
    <x v="0"/>
    <s v="Decant Water Pipework Upgr"/>
    <x v="2"/>
    <n v="935000"/>
    <n v="16660.82"/>
    <n v="0"/>
    <n v="997309.92"/>
    <n v="1013970.74"/>
    <s v="David"/>
    <s v="Bassingthwaighte"/>
    <s v="SPP01"/>
    <d v="2008-04-24T00:00:00"/>
    <x v="3"/>
    <x v="1"/>
    <x v="2"/>
    <x v="0"/>
    <x v="0"/>
    <x v="2"/>
    <x v="1"/>
    <x v="0"/>
    <x v="0"/>
    <x v="0"/>
    <x v="1"/>
    <n v="0"/>
  </r>
  <r>
    <s v="G0800042"/>
    <x v="2"/>
    <s v="SCO08001"/>
    <x v="4"/>
    <x v="2"/>
    <s v="Phos Hill &amp; Misa  2009 Shut"/>
    <x v="2"/>
    <n v="6100000"/>
    <n v="39982771.920000002"/>
    <n v="0"/>
    <n v="7679157.8899999997"/>
    <n v="47661929.810000002"/>
    <s v="Dan"/>
    <s v="Miller"/>
    <s v="ZM203"/>
    <d v="2008-05-11T00:00:00"/>
    <x v="3"/>
    <x v="1"/>
    <x v="2"/>
    <x v="0"/>
    <x v="0"/>
    <x v="1"/>
    <x v="1"/>
    <x v="0"/>
    <x v="0"/>
    <x v="1"/>
    <x v="1"/>
    <n v="335071.14"/>
  </r>
  <r>
    <s v="G0800049"/>
    <x v="2"/>
    <s v="SPP08022"/>
    <x v="4"/>
    <x v="3"/>
    <s v="Upgrading 20% Acid Export System"/>
    <x v="3"/>
    <n v="418000"/>
    <n v="-39069.96"/>
    <n v="0"/>
    <n v="449557.1"/>
    <n v="410487.14"/>
    <s v="Tom"/>
    <s v="Wilson"/>
    <s v="SPP01"/>
    <d v="2008-06-04T00:00:00"/>
    <x v="3"/>
    <x v="1"/>
    <x v="2"/>
    <x v="0"/>
    <x v="0"/>
    <x v="2"/>
    <x v="1"/>
    <x v="0"/>
    <x v="0"/>
    <x v="0"/>
    <x v="1"/>
    <n v="0"/>
  </r>
  <r>
    <s v="G0800051"/>
    <x v="2"/>
    <s v="ICAPPP08009"/>
    <x v="4"/>
    <x v="4"/>
    <s v="Intermediate Acid Storage Tank 3 Reline"/>
    <x v="2"/>
    <n v="850000"/>
    <n v="-21733.58"/>
    <n v="0"/>
    <n v="21733.58"/>
    <n v="0"/>
    <s v="Douglas"/>
    <s v="Lee"/>
    <s v="SPP01"/>
    <d v="2008-06-06T00:00:00"/>
    <x v="3"/>
    <x v="1"/>
    <x v="2"/>
    <x v="0"/>
    <x v="0"/>
    <x v="1"/>
    <x v="1"/>
    <x v="0"/>
    <x v="0"/>
    <x v="0"/>
    <x v="1"/>
    <n v="0"/>
  </r>
  <r>
    <s v="G0800055"/>
    <x v="2"/>
    <s v="SPF07001"/>
    <x v="4"/>
    <x v="5"/>
    <s v="Gatx String x 1 - AP Expansion project Stage 1"/>
    <x v="5"/>
    <n v="9206000"/>
    <n v="0.17"/>
    <n v="-640"/>
    <n v="0"/>
    <n v="0.17"/>
    <s v="Mark"/>
    <s v="Surgeon"/>
    <s v="SPF01"/>
    <d v="2008-06-12T00:00:00"/>
    <x v="3"/>
    <x v="1"/>
    <x v="2"/>
    <x v="0"/>
    <x v="0"/>
    <x v="1"/>
    <x v="1"/>
    <x v="0"/>
    <x v="0"/>
    <x v="1"/>
    <x v="1"/>
    <n v="0"/>
  </r>
  <r>
    <s v="G0800060"/>
    <x v="2"/>
    <s v="SPO08023"/>
    <x v="4"/>
    <x v="5"/>
    <s v="Medical Centre Upgr - Phos Hill"/>
    <x v="5"/>
    <n v="301000"/>
    <n v="-818.18"/>
    <n v="0"/>
    <n v="9000"/>
    <n v="8181.82"/>
    <s v="Tom"/>
    <s v="Wilson"/>
    <s v="SPZ13"/>
    <d v="2008-07-04T00:00:00"/>
    <x v="3"/>
    <x v="1"/>
    <x v="2"/>
    <x v="0"/>
    <x v="0"/>
    <x v="1"/>
    <x v="1"/>
    <x v="0"/>
    <x v="0"/>
    <x v="0"/>
    <x v="1"/>
    <n v="0"/>
  </r>
  <r>
    <s v="G0800065"/>
    <x v="3"/>
    <s v="SMI08014"/>
    <x v="4"/>
    <x v="0"/>
    <s v="Additional Molten Sulphur Line- Stage 1"/>
    <x v="3"/>
    <n v="130000"/>
    <n v="2948.29"/>
    <n v="0"/>
    <n v="87900.99"/>
    <n v="90849.279999999999"/>
    <s v="Stephen"/>
    <s v="Miller"/>
    <s v="SMS01"/>
    <d v="2008-07-31T00:00:00"/>
    <x v="2"/>
    <x v="1"/>
    <x v="2"/>
    <x v="0"/>
    <x v="0"/>
    <x v="1"/>
    <x v="1"/>
    <x v="0"/>
    <x v="0"/>
    <x v="0"/>
    <x v="1"/>
    <n v="0"/>
  </r>
  <r>
    <s v="G0800069"/>
    <x v="2"/>
    <s v="SPO08011"/>
    <x v="4"/>
    <x v="0"/>
    <s v="Hf Detection System - Lab"/>
    <x v="2"/>
    <n v="7000"/>
    <n v="-790"/>
    <n v="0"/>
    <n v="8437.06"/>
    <n v="7647.06"/>
    <s v="Susan"/>
    <s v="Lucas"/>
    <s v="SPZ03"/>
    <d v="2008-08-22T00:00:00"/>
    <x v="3"/>
    <x v="1"/>
    <x v="2"/>
    <x v="0"/>
    <x v="0"/>
    <x v="2"/>
    <x v="1"/>
    <x v="0"/>
    <x v="0"/>
    <x v="0"/>
    <x v="1"/>
    <n v="0"/>
  </r>
  <r>
    <s v="G0800073"/>
    <x v="2"/>
    <s v="SPA08004"/>
    <x v="4"/>
    <x v="2"/>
    <s v="Tgset Protection &amp; Avr Upgr"/>
    <x v="3"/>
    <n v="194000"/>
    <n v="74229.539999999994"/>
    <n v="0"/>
    <n v="118540.86"/>
    <n v="192770.4"/>
    <s v="Andrew"/>
    <s v="Cantamessa"/>
    <s v="SPA01"/>
    <d v="2008-09-05T00:00:00"/>
    <x v="3"/>
    <x v="1"/>
    <x v="2"/>
    <x v="0"/>
    <x v="0"/>
    <x v="1"/>
    <x v="1"/>
    <x v="0"/>
    <x v="0"/>
    <x v="0"/>
    <x v="1"/>
    <n v="0"/>
  </r>
  <r>
    <s v="G0800077"/>
    <x v="3"/>
    <s v="SMI08015"/>
    <x v="4"/>
    <x v="0"/>
    <s v="Demineralised Water Treatment Plant"/>
    <x v="3"/>
    <n v="1700000"/>
    <n v="38262.519999999997"/>
    <n v="0"/>
    <n v="2217015.4"/>
    <n v="2255277.92"/>
    <s v="Stephen"/>
    <s v="Miller"/>
    <s v="SMS01"/>
    <d v="2008-09-26T00:00:00"/>
    <x v="2"/>
    <x v="1"/>
    <x v="2"/>
    <x v="0"/>
    <x v="0"/>
    <x v="2"/>
    <x v="1"/>
    <x v="0"/>
    <x v="0"/>
    <x v="0"/>
    <x v="1"/>
    <n v="-13207"/>
  </r>
  <r>
    <s v="G0800077"/>
    <x v="3"/>
    <s v="SMI08015"/>
    <x v="4"/>
    <x v="0"/>
    <s v="Demineralised Water Treatment Plant"/>
    <x v="0"/>
    <m/>
    <n v="13207"/>
    <m/>
    <m/>
    <m/>
    <s v="Stephen"/>
    <s v="Miller"/>
    <s v="SMS01"/>
    <m/>
    <x v="2"/>
    <x v="1"/>
    <x v="2"/>
    <x v="0"/>
    <x v="0"/>
    <x v="2"/>
    <x v="1"/>
    <x v="0"/>
    <x v="0"/>
    <x v="0"/>
    <x v="1"/>
    <n v="13207"/>
  </r>
  <r>
    <s v="G0900001"/>
    <x v="3"/>
    <s v="SMS09001"/>
    <x v="4"/>
    <x v="0"/>
    <s v="Spare - Sulphur Burner"/>
    <x v="6"/>
    <n v="250000"/>
    <n v="-23478.89"/>
    <n v="0"/>
    <n v="23478.89"/>
    <n v="0"/>
    <s v="Brett"/>
    <s v="Landells"/>
    <s v="SMS01"/>
    <d v="2008-10-05T00:00:00"/>
    <x v="2"/>
    <x v="1"/>
    <x v="2"/>
    <x v="0"/>
    <x v="0"/>
    <x v="1"/>
    <x v="1"/>
    <x v="0"/>
    <x v="0"/>
    <x v="0"/>
    <x v="1"/>
    <n v="0"/>
  </r>
  <r>
    <s v="G0900002"/>
    <x v="2"/>
    <s v="SPO09002"/>
    <x v="4"/>
    <x v="0"/>
    <s v="Potable Water Automatic Sampling &amp; Chlorination St"/>
    <x v="3"/>
    <n v="43000"/>
    <n v="500"/>
    <n v="0"/>
    <n v="32483.61"/>
    <n v="32983.61"/>
    <s v="Hans"/>
    <s v="Van Bovene"/>
    <s v="SPZ08"/>
    <d v="2008-10-19T00:00:00"/>
    <x v="3"/>
    <x v="1"/>
    <x v="2"/>
    <x v="0"/>
    <x v="0"/>
    <x v="1"/>
    <x v="1"/>
    <x v="0"/>
    <x v="0"/>
    <x v="0"/>
    <x v="1"/>
    <n v="0"/>
  </r>
  <r>
    <s v="G0900003"/>
    <x v="2"/>
    <s v="SPM08001"/>
    <x v="4"/>
    <x v="0"/>
    <s v="Mining Standpipe Structure Relocation"/>
    <x v="3"/>
    <n v="109000"/>
    <n v="1320"/>
    <n v="0"/>
    <n v="107574.6"/>
    <n v="108894.6"/>
    <s v="Andrew"/>
    <s v="Jacklyn"/>
    <s v="SPM01"/>
    <d v="2008-10-24T00:00:00"/>
    <x v="3"/>
    <x v="1"/>
    <x v="2"/>
    <x v="0"/>
    <x v="0"/>
    <x v="2"/>
    <x v="1"/>
    <x v="0"/>
    <x v="0"/>
    <x v="0"/>
    <x v="1"/>
    <n v="1320"/>
  </r>
  <r>
    <s v="G0900005"/>
    <x v="3"/>
    <s v="SMI09002"/>
    <x v="4"/>
    <x v="0"/>
    <s v="Centum Cs 3000 Computer Upgrade for Mt Isa"/>
    <x v="3"/>
    <n v="35000"/>
    <n v="1559"/>
    <n v="0"/>
    <n v="21535.18"/>
    <n v="23094.18"/>
    <s v="Bill"/>
    <s v="Bishop"/>
    <s v="SMS01"/>
    <d v="2008-10-26T00:00:00"/>
    <x v="4"/>
    <x v="2"/>
    <x v="2"/>
    <x v="0"/>
    <x v="0"/>
    <x v="1"/>
    <x v="1"/>
    <x v="0"/>
    <x v="0"/>
    <x v="0"/>
    <x v="1"/>
    <n v="0"/>
  </r>
  <r>
    <s v="G0900009"/>
    <x v="4"/>
    <s v="SOH09001"/>
    <x v="4"/>
    <x v="0"/>
    <s v="Tsvl Office Integration"/>
    <x v="3"/>
    <n v="169000"/>
    <n v="-138570.35999999999"/>
    <n v="0"/>
    <n v="285535.40999999997"/>
    <n v="146965.04999999999"/>
    <s v="Damion"/>
    <s v="Hillhouse"/>
    <s v="STZ05"/>
    <d v="2008-12-06T00:00:00"/>
    <x v="5"/>
    <x v="1"/>
    <x v="2"/>
    <x v="0"/>
    <x v="0"/>
    <x v="1"/>
    <x v="1"/>
    <x v="0"/>
    <x v="0"/>
    <x v="0"/>
    <x v="1"/>
    <n v="0"/>
  </r>
  <r>
    <s v="G0900010"/>
    <x v="2"/>
    <s v="SPP09002"/>
    <x v="4"/>
    <x v="0"/>
    <s v="Hh Filter Belt A Change Out"/>
    <x v="3"/>
    <n v="372000"/>
    <n v="-365465.33"/>
    <n v="0"/>
    <n v="365465.33"/>
    <n v="0"/>
    <s v="Gavin"/>
    <s v="Blaik"/>
    <s v="SPP01"/>
    <d v="2008-12-06T00:00:00"/>
    <x v="3"/>
    <x v="1"/>
    <x v="2"/>
    <x v="0"/>
    <x v="0"/>
    <x v="2"/>
    <x v="1"/>
    <x v="0"/>
    <x v="0"/>
    <x v="0"/>
    <x v="1"/>
    <n v="-365307.73"/>
  </r>
  <r>
    <s v="G0900011"/>
    <x v="2"/>
    <s v="SPP09004"/>
    <x v="4"/>
    <x v="0"/>
    <s v="Hh Filter Belt C Change-out"/>
    <x v="3"/>
    <n v="750000"/>
    <n v="-28517.78"/>
    <n v="0"/>
    <n v="622335.16"/>
    <n v="593817.38"/>
    <s v="Gavin"/>
    <s v="Blaik"/>
    <s v="SPP01"/>
    <d v="2008-12-14T00:00:00"/>
    <x v="3"/>
    <x v="1"/>
    <x v="2"/>
    <x v="0"/>
    <x v="0"/>
    <x v="1"/>
    <x v="1"/>
    <x v="0"/>
    <x v="0"/>
    <x v="0"/>
    <x v="1"/>
    <n v="0"/>
  </r>
  <r>
    <s v="G0900012"/>
    <x v="2"/>
    <s v="SPP09008"/>
    <x v="4"/>
    <x v="0"/>
    <s v="Reactor 2 Vessel Baffle Upgr - Stage 2"/>
    <x v="3"/>
    <n v="400000"/>
    <n v="169181.4"/>
    <n v="0"/>
    <n v="218703.75"/>
    <n v="387885.15"/>
    <s v="Paul"/>
    <s v="Mcloughlin"/>
    <s v="SPP01"/>
    <d v="2008-12-14T00:00:00"/>
    <x v="3"/>
    <x v="1"/>
    <x v="2"/>
    <x v="0"/>
    <x v="0"/>
    <x v="1"/>
    <x v="1"/>
    <x v="0"/>
    <x v="0"/>
    <x v="0"/>
    <x v="1"/>
    <n v="0"/>
  </r>
  <r>
    <s v="G0900013"/>
    <x v="2"/>
    <s v="SPG09005"/>
    <x v="4"/>
    <x v="0"/>
    <s v="Spare - Rotary Dryer Girth Gear"/>
    <x v="6"/>
    <n v="473000"/>
    <n v="349338.35"/>
    <n v="0"/>
    <n v="50012.69"/>
    <n v="399351.03999999998"/>
    <s v="Daniel"/>
    <s v="Morton"/>
    <s v="SPG01"/>
    <d v="2009-01-08T00:00:00"/>
    <x v="3"/>
    <x v="1"/>
    <x v="2"/>
    <x v="0"/>
    <x v="0"/>
    <x v="1"/>
    <x v="1"/>
    <x v="0"/>
    <x v="0"/>
    <x v="0"/>
    <x v="1"/>
    <n v="25513.47"/>
  </r>
  <r>
    <s v="G0900015"/>
    <x v="3"/>
    <s v="SMI09017"/>
    <x v="4"/>
    <x v="0"/>
    <s v="Mt Isa - Oxidation Ups"/>
    <x v="3"/>
    <n v="80000"/>
    <n v="52584.959999999999"/>
    <n v="0"/>
    <n v="63986.9"/>
    <n v="116571.86"/>
    <s v="Hugh"/>
    <s v="Ly"/>
    <s v="SMS01"/>
    <d v="2009-01-30T00:00:00"/>
    <x v="2"/>
    <x v="1"/>
    <x v="2"/>
    <x v="0"/>
    <x v="0"/>
    <x v="2"/>
    <x v="1"/>
    <x v="0"/>
    <x v="0"/>
    <x v="0"/>
    <x v="1"/>
    <n v="0"/>
  </r>
  <r>
    <s v="G0900016"/>
    <x v="3"/>
    <s v="SMI09018"/>
    <x v="4"/>
    <x v="0"/>
    <s v="Replacement Of Expansion Joints On Clean Gas Duct"/>
    <x v="2"/>
    <n v="132202"/>
    <n v="955.67"/>
    <n v="0"/>
    <n v="98383.93"/>
    <n v="99339.6"/>
    <s v="Sak"/>
    <s v="Rupasinghe"/>
    <s v="SMS01"/>
    <d v="2009-02-12T00:00:00"/>
    <x v="2"/>
    <x v="1"/>
    <x v="2"/>
    <x v="0"/>
    <x v="0"/>
    <x v="2"/>
    <x v="1"/>
    <x v="0"/>
    <x v="0"/>
    <x v="0"/>
    <x v="1"/>
    <n v="0"/>
  </r>
  <r>
    <s v="G0900021"/>
    <x v="2"/>
    <s v="SPA09021"/>
    <x v="4"/>
    <x v="0"/>
    <s v="Reformer Fuel Block Valve Repl"/>
    <x v="2"/>
    <n v="84000"/>
    <n v="1124.53"/>
    <n v="0"/>
    <n v="36738"/>
    <n v="37862.53"/>
    <s v="Phil"/>
    <s v="Chapman"/>
    <s v="SPA01"/>
    <d v="2009-03-04T00:00:00"/>
    <x v="3"/>
    <x v="1"/>
    <x v="2"/>
    <x v="0"/>
    <x v="0"/>
    <x v="2"/>
    <x v="1"/>
    <x v="0"/>
    <x v="0"/>
    <x v="0"/>
    <x v="1"/>
    <n v="0"/>
  </r>
  <r>
    <s v="G0900022"/>
    <x v="2"/>
    <s v="SPO09009"/>
    <x v="4"/>
    <x v="0"/>
    <s v="Phos Hill &amp; Misa Ups Repl"/>
    <x v="2"/>
    <n v="60000"/>
    <n v="-24855.8"/>
    <n v="0"/>
    <n v="43858.86"/>
    <n v="19003.060000000001"/>
    <s v="Hugh"/>
    <s v="Ly"/>
    <s v="SPZ15"/>
    <d v="2009-03-04T00:00:00"/>
    <x v="3"/>
    <x v="1"/>
    <x v="2"/>
    <x v="0"/>
    <x v="0"/>
    <x v="2"/>
    <x v="1"/>
    <x v="0"/>
    <x v="0"/>
    <x v="0"/>
    <x v="1"/>
    <n v="0"/>
  </r>
  <r>
    <s v="G0900023"/>
    <x v="2"/>
    <s v="SPO09012"/>
    <x v="4"/>
    <x v="2"/>
    <s v="Upgrade Existing Lv Air Circuit Breakers (acb's)"/>
    <x v="3"/>
    <n v="150000"/>
    <n v="-38969.360000000001"/>
    <n v="0"/>
    <n v="90806.45"/>
    <n v="51837.09"/>
    <s v="Victor"/>
    <s v="Odman"/>
    <s v="SPZ08"/>
    <d v="2009-02-26T00:00:00"/>
    <x v="3"/>
    <x v="1"/>
    <x v="2"/>
    <x v="0"/>
    <x v="0"/>
    <x v="1"/>
    <x v="1"/>
    <x v="0"/>
    <x v="0"/>
    <x v="0"/>
    <x v="1"/>
    <n v="185"/>
  </r>
  <r>
    <s v="G0900023"/>
    <x v="2"/>
    <s v="SPO09012"/>
    <x v="4"/>
    <x v="2"/>
    <s v="Upgrade Existing Lv Air - Spares"/>
    <x v="0"/>
    <m/>
    <n v="62748"/>
    <m/>
    <m/>
    <m/>
    <s v="Victor"/>
    <s v="Odman"/>
    <s v="SPZ08"/>
    <m/>
    <x v="3"/>
    <x v="1"/>
    <x v="2"/>
    <x v="0"/>
    <x v="0"/>
    <x v="1"/>
    <x v="1"/>
    <x v="0"/>
    <x v="0"/>
    <x v="0"/>
    <x v="1"/>
    <m/>
  </r>
  <r>
    <s v="G0900024"/>
    <x v="2"/>
    <s v="SPO09011"/>
    <x v="4"/>
    <x v="0"/>
    <s v="Pdl Variable Speed Drive Replacement"/>
    <x v="3"/>
    <n v="150000"/>
    <n v="-23517.05"/>
    <n v="0"/>
    <n v="129459.85"/>
    <n v="105942.8"/>
    <s v="Hugh"/>
    <s v="Ly"/>
    <s v="SPZ08"/>
    <d v="2009-02-28T00:00:00"/>
    <x v="3"/>
    <x v="1"/>
    <x v="2"/>
    <x v="0"/>
    <x v="0"/>
    <x v="2"/>
    <x v="1"/>
    <x v="0"/>
    <x v="0"/>
    <x v="0"/>
    <x v="1"/>
    <n v="0"/>
  </r>
  <r>
    <s v="G0900025"/>
    <x v="2"/>
    <s v="SPMS08002"/>
    <x v="4"/>
    <x v="0"/>
    <s v="Upgrade/relocate Borefield Pumps - Stage 1"/>
    <x v="3"/>
    <n v="1880000"/>
    <n v="421178.93"/>
    <n v="35920.5"/>
    <n v="1309901.29"/>
    <n v="1731080.22"/>
    <s v="Luke"/>
    <s v="Poli"/>
    <s v="SPM03"/>
    <d v="2009-02-28T00:00:00"/>
    <x v="3"/>
    <x v="1"/>
    <x v="2"/>
    <x v="0"/>
    <x v="0"/>
    <x v="1"/>
    <x v="1"/>
    <x v="0"/>
    <x v="0"/>
    <x v="0"/>
    <x v="1"/>
    <n v="60411"/>
  </r>
  <r>
    <s v="G0900026"/>
    <x v="3"/>
    <s v="SMI09015"/>
    <x v="4"/>
    <x v="2"/>
    <s v="Tg Set Control System Upgrade"/>
    <x v="3"/>
    <n v="325000"/>
    <n v="304094.17"/>
    <n v="0"/>
    <n v="163460.66"/>
    <n v="467554.83"/>
    <s v="Andrew"/>
    <s v="Cantamessa"/>
    <s v="SMS01"/>
    <d v="2009-03-08T00:00:00"/>
    <x v="4"/>
    <x v="1"/>
    <x v="2"/>
    <x v="0"/>
    <x v="0"/>
    <x v="1"/>
    <x v="1"/>
    <x v="0"/>
    <x v="0"/>
    <x v="0"/>
    <x v="1"/>
    <n v="8620"/>
  </r>
  <r>
    <s v="G0900027"/>
    <x v="2"/>
    <s v="SPM09001"/>
    <x v="4"/>
    <x v="0"/>
    <s v="Environmental Monitoring Aquifer Bore Repl"/>
    <x v="5"/>
    <n v="200000"/>
    <n v="-20985.7"/>
    <n v="0"/>
    <n v="216014.7"/>
    <n v="195029"/>
    <s v="Scott"/>
    <s v="Whitehead"/>
    <s v="SPM01"/>
    <d v="2009-05-05T00:00:00"/>
    <x v="3"/>
    <x v="1"/>
    <x v="0"/>
    <x v="0"/>
    <x v="2"/>
    <x v="2"/>
    <x v="1"/>
    <x v="0"/>
    <x v="0"/>
    <x v="0"/>
    <x v="1"/>
    <n v="0"/>
  </r>
  <r>
    <s v="G0900028"/>
    <x v="2"/>
    <s v="SPP09011"/>
    <x v="4"/>
    <x v="5"/>
    <s v="Pap Process Optimisation"/>
    <x v="7"/>
    <n v="75000"/>
    <n v="14426.24"/>
    <n v="0"/>
    <n v="36824.559999999998"/>
    <n v="51250.8"/>
    <s v="Lodewyk"/>
    <s v="Van Der Merwe"/>
    <s v="SPP01"/>
    <d v="2009-05-02T00:00:00"/>
    <x v="3"/>
    <x v="1"/>
    <x v="2"/>
    <x v="0"/>
    <x v="0"/>
    <x v="1"/>
    <x v="1"/>
    <x v="0"/>
    <x v="1"/>
    <x v="0"/>
    <x v="1"/>
    <n v="204"/>
  </r>
  <r>
    <s v="G0900029"/>
    <x v="2"/>
    <s v="SPO09005"/>
    <x v="4"/>
    <x v="0"/>
    <s v="Storage Tank Anodic Protection Upgr Isa &amp; Phos Hil"/>
    <x v="5"/>
    <n v="211000"/>
    <n v="49824.41"/>
    <n v="0"/>
    <n v="87558.35"/>
    <n v="137382.76"/>
    <s v="Michael"/>
    <s v="Morley"/>
    <s v="SPE02"/>
    <d v="2009-05-02T00:00:00"/>
    <x v="3"/>
    <x v="1"/>
    <x v="2"/>
    <x v="0"/>
    <x v="0"/>
    <x v="1"/>
    <x v="1"/>
    <x v="0"/>
    <x v="0"/>
    <x v="0"/>
    <x v="1"/>
    <n v="95"/>
  </r>
  <r>
    <s v="G0900030"/>
    <x v="3"/>
    <s v="SMI09006"/>
    <x v="4"/>
    <x v="0"/>
    <s v="Id Fans Upgr Stage 1 &amp; 2"/>
    <x v="3"/>
    <n v="765000"/>
    <n v="468105.1"/>
    <n v="0"/>
    <n v="94285"/>
    <n v="562390.1"/>
    <s v="Brett"/>
    <s v="Landells"/>
    <s v="SMS02"/>
    <d v="2009-05-02T00:00:00"/>
    <x v="2"/>
    <x v="1"/>
    <x v="2"/>
    <x v="0"/>
    <x v="0"/>
    <x v="1"/>
    <x v="1"/>
    <x v="0"/>
    <x v="0"/>
    <x v="0"/>
    <x v="1"/>
    <n v="0"/>
  </r>
  <r>
    <s v="G0900031"/>
    <x v="2"/>
    <s v="SPP09012"/>
    <x v="4"/>
    <x v="0"/>
    <s v="Phos Acid Plant Cooling Tower Cells 1&amp;2 Upgr"/>
    <x v="3"/>
    <n v="877000"/>
    <n v="76078.75"/>
    <n v="0"/>
    <n v="603982.43000000005"/>
    <n v="680061.18"/>
    <s v="Gavin"/>
    <s v="Blaik"/>
    <s v="SPP01"/>
    <d v="2009-05-03T00:00:00"/>
    <x v="3"/>
    <x v="1"/>
    <x v="2"/>
    <x v="0"/>
    <x v="0"/>
    <x v="1"/>
    <x v="1"/>
    <x v="0"/>
    <x v="0"/>
    <x v="0"/>
    <x v="1"/>
    <n v="0"/>
  </r>
  <r>
    <s v="G0900033"/>
    <x v="3"/>
    <s v="SMIS08020"/>
    <x v="4"/>
    <x v="2"/>
    <s v="Turbine Alternator Cooling Tower Replacement"/>
    <x v="3"/>
    <n v="3450000"/>
    <n v="-0.03"/>
    <n v="-0.42"/>
    <n v="1846600.05"/>
    <n v="1846600.02"/>
    <s v="Patrick"/>
    <s v="Owens"/>
    <s v="SMS01"/>
    <d v="2009-05-03T00:00:00"/>
    <x v="4"/>
    <x v="1"/>
    <x v="2"/>
    <x v="0"/>
    <x v="0"/>
    <x v="1"/>
    <x v="1"/>
    <x v="0"/>
    <x v="0"/>
    <x v="1"/>
    <x v="1"/>
    <n v="0.3"/>
  </r>
  <r>
    <s v="G0900035"/>
    <x v="2"/>
    <s v="SPM09003"/>
    <x v="4"/>
    <x v="0"/>
    <s v="Excavation Of Slimes Dam 3b"/>
    <x v="3"/>
    <n v="1500000"/>
    <n v="106480.37"/>
    <n v="0"/>
    <n v="1469269.15"/>
    <n v="1575749.52"/>
    <s v="Steve"/>
    <s v="Davis"/>
    <s v="SPM01"/>
    <d v="2009-06-09T00:00:00"/>
    <x v="3"/>
    <x v="1"/>
    <x v="0"/>
    <x v="0"/>
    <x v="2"/>
    <x v="2"/>
    <x v="1"/>
    <x v="0"/>
    <x v="0"/>
    <x v="0"/>
    <x v="1"/>
    <n v="0"/>
  </r>
  <r>
    <s v="G0900036"/>
    <x v="3"/>
    <s v="SCF07504"/>
    <x v="4"/>
    <x v="0"/>
    <s v="Spare - So2 Blower Motor Stage 2"/>
    <x v="3"/>
    <n v="382000"/>
    <n v="121775.5"/>
    <n v="0"/>
    <n v="86969.77"/>
    <n v="208745.27"/>
    <s v="Andrew"/>
    <s v="Cantamessa"/>
    <s v="SMS01"/>
    <d v="2009-06-06T00:00:00"/>
    <x v="2"/>
    <x v="1"/>
    <x v="2"/>
    <x v="0"/>
    <x v="0"/>
    <x v="1"/>
    <x v="1"/>
    <x v="0"/>
    <x v="0"/>
    <x v="0"/>
    <x v="1"/>
    <n v="0"/>
  </r>
  <r>
    <s v="P0700232"/>
    <x v="1"/>
    <s v="ICAPGG07001"/>
    <x v="3"/>
    <x v="0"/>
    <s v="GGP Workshop Replacement"/>
    <x v="5"/>
    <n v="125000"/>
    <n v="7093.9"/>
    <n v="0"/>
    <n v="26602.97"/>
    <n v="33696.870000000003"/>
    <s v="Grant"/>
    <s v="Lawler"/>
    <s v="GOG06"/>
    <d v="2007-04-13T00:00:00"/>
    <x v="6"/>
    <x v="1"/>
    <x v="0"/>
    <x v="2"/>
    <x v="0"/>
    <x v="1"/>
    <x v="1"/>
    <x v="0"/>
    <x v="0"/>
    <x v="0"/>
    <x v="1"/>
    <n v="2011.4"/>
  </r>
  <r>
    <s v="P0700316"/>
    <x v="0"/>
    <s v="ICAPNO07021"/>
    <x v="2"/>
    <x v="0"/>
    <s v="Townsville No.2 Blending Line De-Bottleneck"/>
    <x v="3"/>
    <n v="84165"/>
    <n v="49981.51"/>
    <n v="0"/>
    <n v="0"/>
    <n v="49981.51"/>
    <s v="David"/>
    <s v="Hedditch"/>
    <s v="FWT04"/>
    <d v="2007-09-24T00:00:00"/>
    <x v="7"/>
    <x v="1"/>
    <x v="2"/>
    <x v="0"/>
    <x v="0"/>
    <x v="2"/>
    <x v="1"/>
    <x v="0"/>
    <x v="0"/>
    <x v="0"/>
    <x v="1"/>
    <n v="49981.51"/>
  </r>
  <r>
    <s v="P0800327"/>
    <x v="1"/>
    <s v="IGA08002"/>
    <x v="3"/>
    <x v="0"/>
    <s v="Upgrade E667 Oil Cooler"/>
    <x v="2"/>
    <n v="25795"/>
    <n v="-21175.15"/>
    <n v="0"/>
    <n v="21175.15"/>
    <n v="0"/>
    <s v="Jordan"/>
    <s v="Blackmur"/>
    <s v="GOA01"/>
    <d v="2007-10-04T00:00:00"/>
    <x v="6"/>
    <x v="1"/>
    <x v="2"/>
    <x v="0"/>
    <x v="0"/>
    <x v="2"/>
    <x v="1"/>
    <x v="0"/>
    <x v="0"/>
    <x v="0"/>
    <x v="1"/>
    <n v="0"/>
  </r>
  <r>
    <s v="P0800343"/>
    <x v="0"/>
    <s v="ISO08001"/>
    <x v="0"/>
    <x v="5"/>
    <s v="Pt Lincoln Consolidation - Stage 2"/>
    <x v="3"/>
    <n v="2264475"/>
    <n v="-52216.09"/>
    <n v="0"/>
    <n v="2539316.41"/>
    <n v="2487100.3199999998"/>
    <s v="David"/>
    <s v="Hedditch"/>
    <s v="FWE04"/>
    <d v="2007-10-17T00:00:00"/>
    <x v="8"/>
    <x v="2"/>
    <x v="3"/>
    <x v="3"/>
    <x v="0"/>
    <x v="1"/>
    <x v="1"/>
    <x v="0"/>
    <x v="0"/>
    <x v="1"/>
    <x v="1"/>
    <n v="0"/>
  </r>
  <r>
    <s v="P0800376"/>
    <x v="1"/>
    <s v="IGA08016"/>
    <x v="3"/>
    <x v="0"/>
    <s v="C602 - IP Compressor Seal Oil Trap Replacement"/>
    <x v="2"/>
    <n v="24734"/>
    <n v="4238.12"/>
    <n v="0"/>
    <n v="11002.24"/>
    <n v="15240.36"/>
    <s v="Jordan"/>
    <s v="Blackmur"/>
    <s v="GOA01"/>
    <d v="2008-01-02T00:00:00"/>
    <x v="6"/>
    <x v="1"/>
    <x v="2"/>
    <x v="0"/>
    <x v="0"/>
    <x v="1"/>
    <x v="1"/>
    <x v="0"/>
    <x v="0"/>
    <x v="0"/>
    <x v="1"/>
    <n v="0"/>
  </r>
  <r>
    <s v="P0800405"/>
    <x v="5"/>
    <s v="IKI08014"/>
    <x v="5"/>
    <x v="0"/>
    <s v="Office Renovations"/>
    <x v="7"/>
    <n v="9595"/>
    <n v="-8295.07"/>
    <n v="0"/>
    <n v="8295.07"/>
    <n v="0"/>
    <s v="Jane"/>
    <s v="Mckee"/>
    <s v="NFD10"/>
    <d v="2008-03-18T00:00:00"/>
    <x v="9"/>
    <x v="3"/>
    <x v="0"/>
    <x v="2"/>
    <x v="0"/>
    <x v="2"/>
    <x v="1"/>
    <x v="0"/>
    <x v="1"/>
    <x v="0"/>
    <x v="1"/>
    <n v="-8295.07"/>
  </r>
  <r>
    <s v="P0800435"/>
    <x v="0"/>
    <s v="ISO08017"/>
    <x v="0"/>
    <x v="0"/>
    <s v="Sulphuric Acid Dilution Plant Upgrade"/>
    <x v="2"/>
    <n v="565000"/>
    <n v="-27"/>
    <n v="0"/>
    <n v="646652.80000000005"/>
    <n v="646625.80000000005"/>
    <s v="Michael"/>
    <s v="Doyle"/>
    <s v="FWX14"/>
    <d v="2008-04-11T00:00:00"/>
    <x v="8"/>
    <x v="2"/>
    <x v="2"/>
    <x v="0"/>
    <x v="0"/>
    <x v="1"/>
    <x v="1"/>
    <x v="0"/>
    <x v="0"/>
    <x v="0"/>
    <x v="1"/>
    <n v="-27"/>
  </r>
  <r>
    <s v="P0800448"/>
    <x v="1"/>
    <s v="IGO08008"/>
    <x v="3"/>
    <x v="0"/>
    <s v="Purchase Ammonia Plant Relief Devices"/>
    <x v="2"/>
    <n v="49887"/>
    <n v="2562"/>
    <n v="0"/>
    <n v="49988"/>
    <n v="52550"/>
    <s v="Jordan"/>
    <s v="Blackmur"/>
    <s v="GOA01"/>
    <d v="2008-05-26T00:00:00"/>
    <x v="6"/>
    <x v="1"/>
    <x v="2"/>
    <x v="0"/>
    <x v="0"/>
    <x v="2"/>
    <x v="1"/>
    <x v="0"/>
    <x v="0"/>
    <x v="0"/>
    <x v="1"/>
    <n v="0"/>
  </r>
  <r>
    <s v="P0800449"/>
    <x v="6"/>
    <s v="IKI08014"/>
    <x v="5"/>
    <x v="0"/>
    <s v="Substation 4 MCC replacement"/>
    <x v="5"/>
    <n v="46420"/>
    <n v="25787.91"/>
    <n v="0"/>
    <n v="21238.06"/>
    <n v="47025.97"/>
    <s v="Peter"/>
    <s v="Key"/>
    <s v="PW004"/>
    <d v="2008-05-26T00:00:00"/>
    <x v="10"/>
    <x v="1"/>
    <x v="2"/>
    <x v="0"/>
    <x v="0"/>
    <x v="2"/>
    <x v="1"/>
    <x v="0"/>
    <x v="0"/>
    <x v="0"/>
    <x v="1"/>
    <n v="0"/>
  </r>
  <r>
    <s v="P0800450"/>
    <x v="5"/>
    <s v="IKI08014"/>
    <x v="5"/>
    <x v="0"/>
    <s v="KI New Storeroom"/>
    <x v="8"/>
    <n v="34450"/>
    <n v="-27500"/>
    <n v="0"/>
    <n v="64968"/>
    <n v="37468"/>
    <s v="Lee"/>
    <s v="Appleby"/>
    <s v="NFD10"/>
    <d v="2008-05-26T00:00:00"/>
    <x v="9"/>
    <x v="3"/>
    <x v="2"/>
    <x v="0"/>
    <x v="0"/>
    <x v="2"/>
    <x v="1"/>
    <x v="0"/>
    <x v="1"/>
    <x v="0"/>
    <x v="1"/>
    <n v="-27500"/>
  </r>
  <r>
    <s v="P0800457"/>
    <x v="0"/>
    <s v="IGE08006"/>
    <x v="6"/>
    <x v="0"/>
    <s v="No 1 Fines Screen Box Frame Upgrade"/>
    <x v="2"/>
    <n v="48780"/>
    <n v="-17407"/>
    <n v="0"/>
    <n v="69968.5"/>
    <n v="52561.5"/>
    <s v="Peter"/>
    <s v="Maurer"/>
    <s v="GEL01"/>
    <d v="2008-05-26T00:00:00"/>
    <x v="11"/>
    <x v="4"/>
    <x v="2"/>
    <x v="0"/>
    <x v="0"/>
    <x v="2"/>
    <x v="1"/>
    <x v="0"/>
    <x v="0"/>
    <x v="0"/>
    <x v="1"/>
    <n v="0"/>
  </r>
  <r>
    <s v="P0800466"/>
    <x v="1"/>
    <s v="IGA08007"/>
    <x v="3"/>
    <x v="0"/>
    <s v="C602/GCT602 Sequencer Replacement"/>
    <x v="2"/>
    <n v="899987"/>
    <n v="15782.98"/>
    <n v="0"/>
    <n v="787722.72"/>
    <n v="803505.7"/>
    <s v="Todd"/>
    <s v="Mclennan"/>
    <s v="G0A01"/>
    <d v="2008-06-10T00:00:00"/>
    <x v="6"/>
    <x v="1"/>
    <x v="2"/>
    <x v="0"/>
    <x v="0"/>
    <x v="1"/>
    <x v="1"/>
    <x v="0"/>
    <x v="0"/>
    <x v="0"/>
    <x v="1"/>
    <n v="440"/>
  </r>
  <r>
    <s v="P0800467"/>
    <x v="1"/>
    <s v="IGA08021"/>
    <x v="3"/>
    <x v="0"/>
    <s v="Honeywell Experion Control System Upgrade"/>
    <x v="2"/>
    <n v="2095000"/>
    <n v="180133.19"/>
    <n v="7945.82"/>
    <n v="1973402.49"/>
    <n v="2153535.6800000002"/>
    <s v="John"/>
    <s v="Mccullough"/>
    <s v="GOA01"/>
    <d v="2008-06-10T00:00:00"/>
    <x v="6"/>
    <x v="1"/>
    <x v="2"/>
    <x v="0"/>
    <x v="0"/>
    <x v="1"/>
    <x v="1"/>
    <x v="0"/>
    <x v="0"/>
    <x v="1"/>
    <x v="1"/>
    <n v="18603.32"/>
  </r>
  <r>
    <s v="P0800475"/>
    <x v="5"/>
    <s v="IKI08012"/>
    <x v="5"/>
    <x v="6"/>
    <s v="AR(C) KI Shed2 Upgrade - Stage 2 Construction"/>
    <x v="3"/>
    <n v="1117366"/>
    <n v="-74572.929999999993"/>
    <n v="0"/>
    <n v="1192495.6299999999"/>
    <n v="1117922.7"/>
    <s v="Lee"/>
    <s v="Appleby"/>
    <s v="NFD10"/>
    <d v="2008-06-17T00:00:00"/>
    <x v="9"/>
    <x v="3"/>
    <x v="0"/>
    <x v="2"/>
    <x v="0"/>
    <x v="2"/>
    <x v="1"/>
    <x v="0"/>
    <x v="0"/>
    <x v="0"/>
    <x v="1"/>
    <n v="0"/>
  </r>
  <r>
    <s v="P0800490"/>
    <x v="0"/>
    <s v="STO08005"/>
    <x v="2"/>
    <x v="0"/>
    <s v="Townsville #2 (New) Blender Guarding Upgrade"/>
    <x v="5"/>
    <n v="79047"/>
    <n v="28490.82"/>
    <n v="0"/>
    <n v="34408.660000000003"/>
    <n v="62899.48"/>
    <s v="Geoff"/>
    <s v="Brown"/>
    <s v="FTW08"/>
    <d v="2008-07-14T00:00:00"/>
    <x v="7"/>
    <x v="1"/>
    <x v="2"/>
    <x v="0"/>
    <x v="0"/>
    <x v="1"/>
    <x v="1"/>
    <x v="0"/>
    <x v="0"/>
    <x v="0"/>
    <x v="1"/>
    <n v="0"/>
  </r>
  <r>
    <s v="P0800499"/>
    <x v="0"/>
    <s v="IGE08006"/>
    <x v="6"/>
    <x v="0"/>
    <s v="FSA Bleed"/>
    <x v="4"/>
    <n v="49379"/>
    <n v="-12095.78"/>
    <n v="0"/>
    <n v="35618.5"/>
    <n v="23522.720000000001"/>
    <s v="David"/>
    <s v="Kelly"/>
    <s v="GES01"/>
    <d v="2008-07-17T00:00:00"/>
    <x v="11"/>
    <x v="4"/>
    <x v="2"/>
    <x v="0"/>
    <x v="0"/>
    <x v="2"/>
    <x v="1"/>
    <x v="0"/>
    <x v="0"/>
    <x v="0"/>
    <x v="1"/>
    <n v="0"/>
  </r>
  <r>
    <s v="P0800517"/>
    <x v="1"/>
    <s v="IGA08022"/>
    <x v="3"/>
    <x v="0"/>
    <s v="AT603 H/N Analyser Replacment"/>
    <x v="2"/>
    <n v="165157"/>
    <n v="7034.5"/>
    <n v="0"/>
    <n v="164434.76999999999"/>
    <n v="171469.27"/>
    <s v="Todd"/>
    <s v="Mclennan"/>
    <s v="GOA01"/>
    <d v="2008-08-01T00:00:00"/>
    <x v="6"/>
    <x v="1"/>
    <x v="2"/>
    <x v="0"/>
    <x v="0"/>
    <x v="2"/>
    <x v="1"/>
    <x v="0"/>
    <x v="0"/>
    <x v="0"/>
    <x v="1"/>
    <n v="0"/>
  </r>
  <r>
    <s v="P0800527"/>
    <x v="0"/>
    <s v="INO08019"/>
    <x v="2"/>
    <x v="6"/>
    <s v="AR(C) Stage 1 - Archer Street PDC Refurbishment"/>
    <x v="2"/>
    <n v="3369860"/>
    <n v="26118.41"/>
    <n v="-49872.62"/>
    <n v="620053.46"/>
    <n v="646171.87"/>
    <s v="Gary"/>
    <s v="Page"/>
    <s v="FWT00"/>
    <d v="2008-08-21T00:00:00"/>
    <x v="7"/>
    <x v="1"/>
    <x v="0"/>
    <x v="2"/>
    <x v="0"/>
    <x v="1"/>
    <x v="1"/>
    <x v="0"/>
    <x v="0"/>
    <x v="1"/>
    <x v="1"/>
    <n v="-29268.34"/>
  </r>
  <r>
    <s v="P0800529"/>
    <x v="4"/>
    <s v="IFI08016"/>
    <x v="7"/>
    <x v="7"/>
    <s v="Video Conferencing Upgrade"/>
    <x v="9"/>
    <n v="310000"/>
    <n v="-10662.14"/>
    <n v="0"/>
    <n v="89862.12"/>
    <n v="79199.98"/>
    <s v="Boon"/>
    <s v="Beh"/>
    <s v="ZI005"/>
    <d v="2008-08-21T00:00:00"/>
    <x v="12"/>
    <x v="4"/>
    <x v="2"/>
    <x v="0"/>
    <x v="0"/>
    <x v="2"/>
    <x v="1"/>
    <x v="0"/>
    <x v="0"/>
    <x v="0"/>
    <x v="1"/>
    <n v="0"/>
  </r>
  <r>
    <s v="P0800532"/>
    <x v="1"/>
    <s v="IGU08020"/>
    <x v="3"/>
    <x v="0"/>
    <s v="T745 Vacuum Protection Installation"/>
    <x v="3"/>
    <n v="1607498"/>
    <n v="-460.54"/>
    <n v="0"/>
    <n v="1686729.38"/>
    <n v="1686268.84"/>
    <s v="Steve"/>
    <s v="Mcguire"/>
    <s v="GOU01"/>
    <d v="2008-08-21T00:00:00"/>
    <x v="6"/>
    <x v="1"/>
    <x v="2"/>
    <x v="0"/>
    <x v="0"/>
    <x v="1"/>
    <x v="1"/>
    <x v="0"/>
    <x v="0"/>
    <x v="0"/>
    <x v="1"/>
    <n v="0"/>
  </r>
  <r>
    <s v="P0800533"/>
    <x v="1"/>
    <s v="IGU08021"/>
    <x v="3"/>
    <x v="5"/>
    <s v="3rd CO2 Compressor Installation"/>
    <x v="7"/>
    <n v="15805600"/>
    <n v="799880.34"/>
    <n v="16016.7"/>
    <n v="4923294.8"/>
    <n v="5723175.1399999997"/>
    <s v="David"/>
    <s v="Rowbottom"/>
    <s v="GOU01"/>
    <d v="2008-08-21T00:00:00"/>
    <x v="6"/>
    <x v="1"/>
    <x v="4"/>
    <x v="4"/>
    <x v="0"/>
    <x v="1"/>
    <x v="1"/>
    <x v="0"/>
    <x v="1"/>
    <x v="1"/>
    <x v="1"/>
    <n v="199145.33"/>
  </r>
  <r>
    <s v="P0800550"/>
    <x v="1"/>
    <s v="IGU08004"/>
    <x v="3"/>
    <x v="0"/>
    <s v="HVLV Substation No.1 New Roof"/>
    <x v="5"/>
    <n v="270270"/>
    <n v="25179.33"/>
    <n v="0"/>
    <n v="239972.18"/>
    <n v="265151.51"/>
    <s v="Peter"/>
    <s v="Jones"/>
    <s v="GOU01"/>
    <d v="2008-09-02T00:00:00"/>
    <x v="6"/>
    <x v="1"/>
    <x v="0"/>
    <x v="2"/>
    <x v="0"/>
    <x v="2"/>
    <x v="1"/>
    <x v="0"/>
    <x v="0"/>
    <x v="0"/>
    <x v="1"/>
    <n v="760"/>
  </r>
  <r>
    <s v="P0800564"/>
    <x v="5"/>
    <s v="IKI08018"/>
    <x v="5"/>
    <x v="6"/>
    <s v="AR(C) KI Bagging Plant Persistence"/>
    <x v="3"/>
    <n v="1200000"/>
    <n v="216495"/>
    <n v="0"/>
    <n v="600476.77"/>
    <n v="816971.77"/>
    <s v="Steven"/>
    <s v="Quigley"/>
    <s v="NFD01"/>
    <d v="2008-09-18T00:00:00"/>
    <x v="9"/>
    <x v="3"/>
    <x v="2"/>
    <x v="0"/>
    <x v="0"/>
    <x v="2"/>
    <x v="1"/>
    <x v="0"/>
    <x v="0"/>
    <x v="0"/>
    <x v="1"/>
    <n v="18436.5"/>
  </r>
  <r>
    <s v="P0800565"/>
    <x v="0"/>
    <s v="IGE08006"/>
    <x v="6"/>
    <x v="0"/>
    <s v="Install Electronic Sliding Gate at Gate 4"/>
    <x v="5"/>
    <n v="55930"/>
    <n v="41460.81"/>
    <n v="0"/>
    <n v="9860.6299999999992"/>
    <n v="51321.440000000002"/>
    <s v="Richard"/>
    <s v="Jacobson"/>
    <s v="GES01"/>
    <d v="2008-09-18T00:00:00"/>
    <x v="11"/>
    <x v="4"/>
    <x v="0"/>
    <x v="2"/>
    <x v="0"/>
    <x v="2"/>
    <x v="1"/>
    <x v="0"/>
    <x v="0"/>
    <x v="0"/>
    <x v="1"/>
    <n v="0"/>
  </r>
  <r>
    <s v="P0800566"/>
    <x v="0"/>
    <s v="IGE08006"/>
    <x v="6"/>
    <x v="0"/>
    <s v="Install Electronic Sliding Gate at Gate 8"/>
    <x v="5"/>
    <n v="58209"/>
    <n v="45490.77"/>
    <n v="0"/>
    <n v="8813.2800000000007"/>
    <n v="54304.05"/>
    <s v="Richard"/>
    <s v="Jacobson"/>
    <s v="GES01"/>
    <d v="2008-09-18T00:00:00"/>
    <x v="11"/>
    <x v="4"/>
    <x v="0"/>
    <x v="2"/>
    <x v="0"/>
    <x v="2"/>
    <x v="1"/>
    <x v="0"/>
    <x v="0"/>
    <x v="0"/>
    <x v="1"/>
    <n v="0"/>
  </r>
  <r>
    <s v="P0800569"/>
    <x v="1"/>
    <s v="IGA08025"/>
    <x v="3"/>
    <x v="0"/>
    <s v="NH3 Shipping Wharf Upgrade"/>
    <x v="2"/>
    <n v="446894"/>
    <n v="60451.02"/>
    <n v="60451.02"/>
    <n v="259516.9"/>
    <n v="319967.92"/>
    <s v="Khe"/>
    <s v="Tan"/>
    <s v="GOA11"/>
    <d v="2008-09-18T00:00:00"/>
    <x v="6"/>
    <x v="1"/>
    <x v="0"/>
    <x v="2"/>
    <x v="0"/>
    <x v="1"/>
    <x v="1"/>
    <x v="0"/>
    <x v="0"/>
    <x v="0"/>
    <x v="1"/>
    <n v="60451.02"/>
  </r>
  <r>
    <s v="P0800584"/>
    <x v="0"/>
    <s v="IPM08002"/>
    <x v="8"/>
    <x v="0"/>
    <s v="Cooler Drum Lower Pipe replacement"/>
    <x v="2"/>
    <n v="17000"/>
    <n v="1"/>
    <n v="0"/>
    <n v="0"/>
    <n v="1"/>
    <s v="Karl"/>
    <s v="Nowakowski"/>
    <s v="PTS01"/>
    <d v="2008-09-26T00:00:00"/>
    <x v="13"/>
    <x v="4"/>
    <x v="2"/>
    <x v="0"/>
    <x v="0"/>
    <x v="2"/>
    <x v="1"/>
    <x v="0"/>
    <x v="0"/>
    <x v="0"/>
    <x v="1"/>
    <n v="0"/>
  </r>
  <r>
    <s v="P0800588"/>
    <x v="1"/>
    <s v="IGO08012"/>
    <x v="3"/>
    <x v="0"/>
    <s v="Building 110 Upgrade Nitrogen Control Room"/>
    <x v="2"/>
    <n v="621226"/>
    <n v="331306.02"/>
    <n v="0"/>
    <n v="349999.02"/>
    <n v="681305.04"/>
    <s v="Peter"/>
    <s v="Vollert"/>
    <s v="GOA01"/>
    <d v="2008-09-30T00:00:00"/>
    <x v="6"/>
    <x v="1"/>
    <x v="0"/>
    <x v="2"/>
    <x v="0"/>
    <x v="2"/>
    <x v="1"/>
    <x v="0"/>
    <x v="0"/>
    <x v="0"/>
    <x v="1"/>
    <n v="2169.08"/>
  </r>
  <r>
    <s v="P0800589"/>
    <x v="1"/>
    <s v="IGG08005"/>
    <x v="3"/>
    <x v="0"/>
    <s v="Granulation Plant Drainage and Waste Water"/>
    <x v="5"/>
    <n v="998935"/>
    <n v="1375"/>
    <n v="0"/>
    <n v="1079040.55"/>
    <n v="1080415.55"/>
    <s v="Peter"/>
    <s v="Vollert"/>
    <s v="GOG06"/>
    <d v="2008-09-30T00:00:00"/>
    <x v="6"/>
    <x v="1"/>
    <x v="2"/>
    <x v="0"/>
    <x v="0"/>
    <x v="2"/>
    <x v="1"/>
    <x v="0"/>
    <x v="0"/>
    <x v="0"/>
    <x v="1"/>
    <n v="0"/>
  </r>
  <r>
    <s v="P0900593"/>
    <x v="4"/>
    <s v="IFI09001"/>
    <x v="9"/>
    <x v="7"/>
    <s v="BCS - Group Financial Consolidation"/>
    <x v="10"/>
    <n v="100000"/>
    <n v="-75200.240000000005"/>
    <n v="0"/>
    <n v="75200.240000000005"/>
    <n v="0"/>
    <s v="Nick"/>
    <s v="Stratford"/>
    <s v="ZF002"/>
    <d v="2008-10-23T00:00:00"/>
    <x v="14"/>
    <x v="4"/>
    <x v="2"/>
    <x v="0"/>
    <x v="0"/>
    <x v="1"/>
    <x v="1"/>
    <x v="0"/>
    <x v="0"/>
    <x v="0"/>
    <x v="1"/>
    <n v="-75200.240000000005"/>
  </r>
  <r>
    <s v="P0900598"/>
    <x v="0"/>
    <s v="IN009007"/>
    <x v="2"/>
    <x v="6"/>
    <s v="AR(C) Cairns-No1 unit structural beams"/>
    <x v="2"/>
    <n v="62500"/>
    <n v="27835.85"/>
    <n v="0"/>
    <n v="32550"/>
    <n v="60385.85"/>
    <s v="Paul"/>
    <s v="Rylewski"/>
    <s v="FWC09"/>
    <d v="2008-12-18T00:00:00"/>
    <x v="7"/>
    <x v="1"/>
    <x v="0"/>
    <x v="2"/>
    <x v="0"/>
    <x v="2"/>
    <x v="1"/>
    <x v="0"/>
    <x v="0"/>
    <x v="0"/>
    <x v="1"/>
    <n v="0"/>
  </r>
  <r>
    <s v="P0900599"/>
    <x v="1"/>
    <s v="IGI09003"/>
    <x v="3"/>
    <x v="6"/>
    <s v="AR(C) Product Distribution Centre Asset Renewal"/>
    <x v="3"/>
    <n v="935000"/>
    <n v="9616.9"/>
    <n v="0"/>
    <n v="971149.52"/>
    <n v="980766.42"/>
    <s v="Bruce"/>
    <s v="King"/>
    <s v="GD012"/>
    <d v="2008-12-22T00:00:00"/>
    <x v="6"/>
    <x v="1"/>
    <x v="0"/>
    <x v="2"/>
    <x v="0"/>
    <x v="2"/>
    <x v="1"/>
    <x v="0"/>
    <x v="0"/>
    <x v="0"/>
    <x v="1"/>
    <n v="0"/>
  </r>
  <r>
    <s v="P0900600"/>
    <x v="1"/>
    <s v="IGA09004"/>
    <x v="3"/>
    <x v="0"/>
    <s v="Process Condensate Stripping"/>
    <x v="2"/>
    <n v="347000"/>
    <n v="24231.32"/>
    <n v="0"/>
    <n v="258489.77"/>
    <n v="282721.09000000003"/>
    <s v="Venkat"/>
    <s v="Pattabathula"/>
    <s v="GOA01"/>
    <d v="2008-12-22T00:00:00"/>
    <x v="6"/>
    <x v="1"/>
    <x v="2"/>
    <x v="0"/>
    <x v="0"/>
    <x v="2"/>
    <x v="1"/>
    <x v="0"/>
    <x v="0"/>
    <x v="0"/>
    <x v="1"/>
    <n v="0"/>
  </r>
  <r>
    <s v="P0900601"/>
    <x v="1"/>
    <s v="IGC09001"/>
    <x v="3"/>
    <x v="5"/>
    <s v="Installation of 6th CO2 Compressor"/>
    <x v="7"/>
    <n v="139266"/>
    <n v="440"/>
    <n v="0"/>
    <n v="137587.76999999999"/>
    <n v="138027.76999999999"/>
    <s v="Rolf"/>
    <s v="Vollert"/>
    <s v="GOC01"/>
    <d v="2008-12-22T00:00:00"/>
    <x v="6"/>
    <x v="1"/>
    <x v="2"/>
    <x v="0"/>
    <x v="0"/>
    <x v="2"/>
    <x v="1"/>
    <x v="0"/>
    <x v="1"/>
    <x v="0"/>
    <x v="1"/>
    <n v="0"/>
  </r>
  <r>
    <s v="P0900602"/>
    <x v="1"/>
    <s v="IGO09001"/>
    <x v="3"/>
    <x v="0"/>
    <s v="Stormwater Management Stage 2 Phase b"/>
    <x v="5"/>
    <n v="907498"/>
    <n v="-5673.73"/>
    <n v="4469.28"/>
    <n v="894878.86"/>
    <n v="889205.13"/>
    <s v="Peter"/>
    <s v="Vollert"/>
    <s v="GW001"/>
    <d v="2008-12-22T00:00:00"/>
    <x v="6"/>
    <x v="1"/>
    <x v="2"/>
    <x v="0"/>
    <x v="0"/>
    <x v="1"/>
    <x v="1"/>
    <x v="0"/>
    <x v="0"/>
    <x v="0"/>
    <x v="1"/>
    <n v="28352.28"/>
  </r>
  <r>
    <s v="P0900608"/>
    <x v="1"/>
    <s v="IGU09004"/>
    <x v="3"/>
    <x v="0"/>
    <s v="DP508 Fire Pump Environmental Modifications"/>
    <x v="5"/>
    <n v="38500"/>
    <n v="9282.49"/>
    <n v="0"/>
    <n v="30574.560000000001"/>
    <n v="39857.050000000003"/>
    <s v="Jordan"/>
    <s v="Blackmur"/>
    <s v="GOU01"/>
    <d v="2009-02-27T00:00:00"/>
    <x v="6"/>
    <x v="1"/>
    <x v="2"/>
    <x v="0"/>
    <x v="0"/>
    <x v="2"/>
    <x v="1"/>
    <x v="0"/>
    <x v="0"/>
    <x v="0"/>
    <x v="1"/>
    <n v="0"/>
  </r>
  <r>
    <s v="P0900612"/>
    <x v="1"/>
    <s v="IGA09001"/>
    <x v="3"/>
    <x v="0"/>
    <s v="T301 Vacuum Protection Upgrade"/>
    <x v="5"/>
    <n v="659028"/>
    <n v="49588.68"/>
    <n v="2470"/>
    <n v="363544.03"/>
    <n v="413132.71"/>
    <s v="Khe"/>
    <s v="Tan"/>
    <s v="GOA11"/>
    <d v="2009-03-02T00:00:00"/>
    <x v="6"/>
    <x v="1"/>
    <x v="2"/>
    <x v="0"/>
    <x v="0"/>
    <x v="1"/>
    <x v="1"/>
    <x v="0"/>
    <x v="0"/>
    <x v="0"/>
    <x v="1"/>
    <n v="9327.5"/>
  </r>
  <r>
    <s v="P0900613"/>
    <x v="1"/>
    <s v="IGA09007"/>
    <x v="3"/>
    <x v="0"/>
    <s v="Capital Spare - GI C604 Main Gas Compressor Motor"/>
    <x v="6"/>
    <n v="346900"/>
    <n v="222297.91"/>
    <n v="2333"/>
    <n v="0"/>
    <n v="222297.91"/>
    <s v="Peter"/>
    <s v="Jones"/>
    <s v="GOA01"/>
    <d v="2009-03-02T00:00:00"/>
    <x v="6"/>
    <x v="1"/>
    <x v="2"/>
    <x v="0"/>
    <x v="0"/>
    <x v="1"/>
    <x v="1"/>
    <x v="0"/>
    <x v="0"/>
    <x v="0"/>
    <x v="1"/>
    <n v="189748"/>
  </r>
  <r>
    <s v="P0900614"/>
    <x v="1"/>
    <s v="IGA09003"/>
    <x v="3"/>
    <x v="0"/>
    <s v="T301 WATER ADDITION"/>
    <x v="5"/>
    <n v="155000"/>
    <n v="108917.88"/>
    <n v="47633.17"/>
    <n v="96855.44"/>
    <n v="205773.32"/>
    <s v="Rolf"/>
    <s v="Vollert"/>
    <s v="GOA01"/>
    <d v="2009-03-02T00:00:00"/>
    <x v="6"/>
    <x v="1"/>
    <x v="2"/>
    <x v="0"/>
    <x v="0"/>
    <x v="1"/>
    <x v="1"/>
    <x v="0"/>
    <x v="0"/>
    <x v="0"/>
    <x v="1"/>
    <n v="54899.08"/>
  </r>
  <r>
    <s v="P0900615"/>
    <x v="7"/>
    <s v="STO09002"/>
    <x v="2"/>
    <x v="0"/>
    <s v="Townsville Port Sulphur Compliance - Stage 1"/>
    <x v="5"/>
    <n v="199839"/>
    <n v="85089.77"/>
    <n v="1577.71"/>
    <n v="108094.79"/>
    <n v="193184.56"/>
    <s v="David"/>
    <s v="Dillon"/>
    <s v="STD04"/>
    <d v="2009-03-02T00:00:00"/>
    <x v="7"/>
    <x v="1"/>
    <x v="2"/>
    <x v="0"/>
    <x v="0"/>
    <x v="1"/>
    <x v="1"/>
    <x v="0"/>
    <x v="0"/>
    <x v="0"/>
    <x v="1"/>
    <n v="3982.61"/>
  </r>
  <r>
    <s v="P0900617"/>
    <x v="1"/>
    <s v="IGU09005"/>
    <x v="3"/>
    <x v="0"/>
    <s v="SCR/USol Solution Plant Upgrade Phase 1"/>
    <x v="5"/>
    <n v="136000"/>
    <n v="2636.94"/>
    <n v="0"/>
    <n v="139305.97"/>
    <n v="141942.91"/>
    <s v="Grant"/>
    <s v="Lawler"/>
    <s v="GOU01"/>
    <d v="2009-03-10T00:00:00"/>
    <x v="6"/>
    <x v="1"/>
    <x v="2"/>
    <x v="0"/>
    <x v="0"/>
    <x v="2"/>
    <x v="1"/>
    <x v="0"/>
    <x v="0"/>
    <x v="0"/>
    <x v="1"/>
    <n v="0"/>
  </r>
  <r>
    <s v="P0900618"/>
    <x v="0"/>
    <s v="INO09003"/>
    <x v="2"/>
    <x v="0"/>
    <s v="Cairns-No2 Unit Elevator Upgrade"/>
    <x v="3"/>
    <n v="196400"/>
    <n v="20070.07"/>
    <n v="0"/>
    <n v="180316.7"/>
    <n v="200386.77"/>
    <s v="Paul"/>
    <s v="Rylewski"/>
    <s v="FWC12"/>
    <d v="2009-03-13T00:00:00"/>
    <x v="7"/>
    <x v="1"/>
    <x v="2"/>
    <x v="0"/>
    <x v="0"/>
    <x v="2"/>
    <x v="1"/>
    <x v="0"/>
    <x v="0"/>
    <x v="0"/>
    <x v="1"/>
    <n v="0"/>
  </r>
  <r>
    <s v="P0900621"/>
    <x v="1"/>
    <s v="IGU09006"/>
    <x v="3"/>
    <x v="0"/>
    <s v="SCR Urea Upgrade"/>
    <x v="8"/>
    <n v="104880"/>
    <n v="896.79"/>
    <n v="0"/>
    <n v="74965.88"/>
    <n v="75862.67"/>
    <s v="Stephen"/>
    <s v="Maule"/>
    <s v="GOU01"/>
    <d v="2009-03-19T00:00:00"/>
    <x v="6"/>
    <x v="1"/>
    <x v="2"/>
    <x v="0"/>
    <x v="0"/>
    <x v="1"/>
    <x v="1"/>
    <x v="0"/>
    <x v="1"/>
    <x v="0"/>
    <x v="1"/>
    <n v="0"/>
  </r>
  <r>
    <s v="P0900624"/>
    <x v="0"/>
    <s v="INO09001"/>
    <x v="2"/>
    <x v="0"/>
    <s v="Townsville IBC Blender refurbishment"/>
    <x v="5"/>
    <n v="859630"/>
    <n v="-7027.84"/>
    <n v="0"/>
    <n v="854380.35"/>
    <n v="847352.51"/>
    <s v="David"/>
    <s v="Collins"/>
    <s v="FWT02"/>
    <d v="2009-03-30T00:00:00"/>
    <x v="7"/>
    <x v="1"/>
    <x v="2"/>
    <x v="0"/>
    <x v="0"/>
    <x v="2"/>
    <x v="1"/>
    <x v="0"/>
    <x v="0"/>
    <x v="0"/>
    <x v="1"/>
    <n v="-49981.51"/>
  </r>
  <r>
    <s v="P0900625"/>
    <x v="0"/>
    <s v="ICM09001"/>
    <x v="10"/>
    <x v="7"/>
    <s v="Technical Upgrade for B2B Adaptor"/>
    <x v="10"/>
    <n v="21000"/>
    <n v="3899.93"/>
    <n v="0"/>
    <n v="14560"/>
    <n v="18459.93"/>
    <s v="Paul"/>
    <s v="O'connor"/>
    <s v="FRD05"/>
    <d v="2009-04-29T00:00:00"/>
    <x v="15"/>
    <x v="1"/>
    <x v="2"/>
    <x v="0"/>
    <x v="0"/>
    <x v="2"/>
    <x v="1"/>
    <x v="0"/>
    <x v="0"/>
    <x v="0"/>
    <x v="1"/>
    <n v="0"/>
  </r>
  <r>
    <s v="P0900626"/>
    <x v="0"/>
    <s v="ISO09001.40"/>
    <x v="0"/>
    <x v="0"/>
    <s v="Mackay Docket printer replacement"/>
    <x v="2"/>
    <n v="5000"/>
    <n v="6068"/>
    <n v="0"/>
    <n v="0"/>
    <n v="6068"/>
    <s v="Fiona"/>
    <s v="Foley"/>
    <s v="FWM08"/>
    <d v="2009-04-30T00:00:00"/>
    <x v="7"/>
    <x v="1"/>
    <x v="2"/>
    <x v="0"/>
    <x v="0"/>
    <x v="2"/>
    <x v="1"/>
    <x v="0"/>
    <x v="0"/>
    <x v="0"/>
    <x v="1"/>
    <n v="0"/>
  </r>
  <r>
    <s v="P0900631"/>
    <x v="0"/>
    <s v="ISO09009"/>
    <x v="0"/>
    <x v="6"/>
    <s v="AR (C) Devonport Asset Renewal"/>
    <x v="2"/>
    <n v="180000"/>
    <n v="-26339.98"/>
    <n v="0"/>
    <n v="150557.49"/>
    <n v="124217.51"/>
    <s v="Gary"/>
    <s v="Bodnar"/>
    <s v="FWD03"/>
    <d v="2009-05-20T00:00:00"/>
    <x v="16"/>
    <x v="5"/>
    <x v="2"/>
    <x v="0"/>
    <x v="0"/>
    <x v="2"/>
    <x v="1"/>
    <x v="0"/>
    <x v="0"/>
    <x v="0"/>
    <x v="1"/>
    <n v="0"/>
  </r>
  <r>
    <s v="P0900632"/>
    <x v="4"/>
    <s v="IFI09004"/>
    <x v="9"/>
    <x v="7"/>
    <s v="CR017 BIS Expense Management"/>
    <x v="4"/>
    <n v="11814"/>
    <n v="2020"/>
    <n v="0"/>
    <n v="8055"/>
    <n v="10075"/>
    <s v="Vanessa"/>
    <s v="Karaoulis"/>
    <s v="ZF002"/>
    <d v="2009-05-20T00:00:00"/>
    <x v="14"/>
    <x v="4"/>
    <x v="2"/>
    <x v="0"/>
    <x v="0"/>
    <x v="2"/>
    <x v="1"/>
    <x v="0"/>
    <x v="0"/>
    <x v="0"/>
    <x v="1"/>
    <n v="2020"/>
  </r>
  <r>
    <s v="P0900633"/>
    <x v="1"/>
    <s v="IGA09010"/>
    <x v="3"/>
    <x v="0"/>
    <s v="Reinstate Two Cathodic Protection Systems"/>
    <x v="3"/>
    <n v="146000"/>
    <n v="81866.460000000006"/>
    <n v="6305.01"/>
    <n v="7543.6"/>
    <n v="89410.06"/>
    <s v="Peter"/>
    <s v="Cleary"/>
    <s v="GOA01"/>
    <d v="2009-05-21T00:00:00"/>
    <x v="6"/>
    <x v="1"/>
    <x v="2"/>
    <x v="0"/>
    <x v="0"/>
    <x v="1"/>
    <x v="1"/>
    <x v="0"/>
    <x v="0"/>
    <x v="0"/>
    <x v="1"/>
    <n v="8093.11"/>
  </r>
  <r>
    <s v="P0900641"/>
    <x v="1"/>
    <s v="IGO09009"/>
    <x v="3"/>
    <x v="0"/>
    <s v="Phase 1 - Gibson Island Head office Upgrade"/>
    <x v="11"/>
    <n v="303600"/>
    <n v="5027.5"/>
    <n v="0"/>
    <n v="317795.92"/>
    <n v="322823.42"/>
    <s v="Anthony"/>
    <s v="Galloway"/>
    <s v="GW001"/>
    <d v="2009-06-11T00:00:00"/>
    <x v="6"/>
    <x v="1"/>
    <x v="0"/>
    <x v="2"/>
    <x v="0"/>
    <x v="2"/>
    <x v="1"/>
    <x v="0"/>
    <x v="0"/>
    <x v="0"/>
    <x v="1"/>
    <n v="0"/>
  </r>
  <r>
    <s v="P0900646"/>
    <x v="3"/>
    <s v="SMI09020"/>
    <x v="4"/>
    <x v="5"/>
    <s v="Back Pressure Damper Automation"/>
    <x v="7"/>
    <n v="78000"/>
    <n v="3156.75"/>
    <n v="0"/>
    <n v="57135.31"/>
    <n v="60292.06"/>
    <s v="Nicholas"/>
    <s v="Hogan"/>
    <s v="SMS01"/>
    <d v="2009-06-24T00:00:00"/>
    <x v="4"/>
    <x v="1"/>
    <x v="2"/>
    <x v="0"/>
    <x v="0"/>
    <x v="2"/>
    <x v="1"/>
    <x v="0"/>
    <x v="1"/>
    <x v="0"/>
    <x v="1"/>
    <n v="0"/>
  </r>
  <r>
    <s v="P0900647"/>
    <x v="1"/>
    <s v="IGO09010"/>
    <x v="3"/>
    <x v="0"/>
    <s v="GI Site Fire Protection - Stage One Funding"/>
    <x v="5"/>
    <n v="269000"/>
    <n v="85565.61"/>
    <n v="0"/>
    <n v="200761.41"/>
    <n v="286327.02"/>
    <s v="Craig"/>
    <s v="Ross"/>
    <s v="GW001"/>
    <d v="2009-06-24T00:00:00"/>
    <x v="6"/>
    <x v="1"/>
    <x v="2"/>
    <x v="0"/>
    <x v="0"/>
    <x v="1"/>
    <x v="1"/>
    <x v="0"/>
    <x v="0"/>
    <x v="0"/>
    <x v="1"/>
    <n v="0"/>
  </r>
  <r>
    <s v="P0900648"/>
    <x v="1"/>
    <s v="IGO09003"/>
    <x v="3"/>
    <x v="0"/>
    <s v="Recycled Water Line from BCC"/>
    <x v="12"/>
    <n v="1763465"/>
    <n v="41159.19"/>
    <n v="0"/>
    <n v="235313.53"/>
    <n v="276472.71999999997"/>
    <s v="Craig"/>
    <s v="Ross"/>
    <s v="GW001"/>
    <d v="2009-06-24T00:00:00"/>
    <x v="6"/>
    <x v="1"/>
    <x v="2"/>
    <x v="0"/>
    <x v="0"/>
    <x v="1"/>
    <x v="1"/>
    <x v="0"/>
    <x v="0"/>
    <x v="0"/>
    <x v="1"/>
    <n v="0"/>
  </r>
  <r>
    <s v="P0900649"/>
    <x v="1"/>
    <s v="IGO09005"/>
    <x v="3"/>
    <x v="0"/>
    <s v="Stage 3a Stormwater Management"/>
    <x v="5"/>
    <n v="450722"/>
    <n v="244750.36"/>
    <n v="15202.04"/>
    <n v="255103.25"/>
    <n v="499853.61"/>
    <s v="Peter"/>
    <s v="Vollert"/>
    <s v="GW001"/>
    <d v="2009-06-24T00:00:00"/>
    <x v="6"/>
    <x v="1"/>
    <x v="2"/>
    <x v="0"/>
    <x v="0"/>
    <x v="1"/>
    <x v="1"/>
    <x v="0"/>
    <x v="0"/>
    <x v="0"/>
    <x v="1"/>
    <n v="84705.18"/>
  </r>
  <r>
    <s v="P0900654"/>
    <x v="1"/>
    <s v="IGO09011"/>
    <x v="3"/>
    <x v="0"/>
    <s v="Workshop Overhead Crane Replacement"/>
    <x v="5"/>
    <n v="74976"/>
    <n v="49198.92"/>
    <n v="0"/>
    <n v="0"/>
    <n v="49198.92"/>
    <s v="Jordan"/>
    <s v="Blackmur"/>
    <s v="GW01"/>
    <d v="2009-07-06T00:00:00"/>
    <x v="6"/>
    <x v="1"/>
    <x v="2"/>
    <x v="0"/>
    <x v="0"/>
    <x v="1"/>
    <x v="1"/>
    <x v="0"/>
    <x v="0"/>
    <x v="0"/>
    <x v="1"/>
    <n v="0"/>
  </r>
  <r>
    <s v="P0900656"/>
    <x v="0"/>
    <s v="IGE09013"/>
    <x v="6"/>
    <x v="5"/>
    <s v="Geelong FSA Import Station"/>
    <x v="7"/>
    <n v="119425"/>
    <n v="10562.93"/>
    <n v="0"/>
    <n v="109286.53"/>
    <n v="119849.46"/>
    <s v="Raffaele"/>
    <s v="D'agostino"/>
    <s v="GEO02"/>
    <d v="2009-07-06T00:00:00"/>
    <x v="11"/>
    <x v="4"/>
    <x v="2"/>
    <x v="0"/>
    <x v="0"/>
    <x v="2"/>
    <x v="1"/>
    <x v="0"/>
    <x v="1"/>
    <x v="0"/>
    <x v="1"/>
    <n v="0"/>
  </r>
  <r>
    <s v="P0900657"/>
    <x v="0"/>
    <s v="IGE09021"/>
    <x v="6"/>
    <x v="0"/>
    <s v="Treatment of Geelong Stormwater"/>
    <x v="5"/>
    <n v="90150"/>
    <n v="2431.8000000000002"/>
    <n v="2431.8000000000002"/>
    <n v="90043.13"/>
    <n v="92474.93"/>
    <s v="Eddie"/>
    <s v="Halsall"/>
    <s v="GES01"/>
    <d v="2009-07-06T00:00:00"/>
    <x v="11"/>
    <x v="4"/>
    <x v="2"/>
    <x v="0"/>
    <x v="0"/>
    <x v="2"/>
    <x v="1"/>
    <x v="0"/>
    <x v="0"/>
    <x v="0"/>
    <x v="1"/>
    <n v="2431.8000000000002"/>
  </r>
  <r>
    <s v="P0900658"/>
    <x v="6"/>
    <s v="IPI09001"/>
    <x v="3"/>
    <x v="0"/>
    <s v="Pinkenba Platforms and Handrails Upgrade"/>
    <x v="3"/>
    <n v="93041"/>
    <n v="35354"/>
    <n v="0"/>
    <n v="66331.33"/>
    <n v="101685.33"/>
    <s v="Bruce"/>
    <s v="King"/>
    <s v="PW004"/>
    <d v="2009-07-06T00:00:00"/>
    <x v="10"/>
    <x v="1"/>
    <x v="0"/>
    <x v="2"/>
    <x v="0"/>
    <x v="2"/>
    <x v="1"/>
    <x v="0"/>
    <x v="0"/>
    <x v="0"/>
    <x v="1"/>
    <n v="15840"/>
  </r>
  <r>
    <s v="P0900660"/>
    <x v="1"/>
    <s v="IGO09004.80"/>
    <x v="3"/>
    <x v="0"/>
    <s v="DCS Minor Upgrade"/>
    <x v="9"/>
    <n v="38176"/>
    <n v="8068"/>
    <n v="0"/>
    <n v="33925"/>
    <n v="41993"/>
    <s v="Basil"/>
    <s v="Neisler"/>
    <s v="GOA01"/>
    <d v="2009-07-08T00:00:00"/>
    <x v="6"/>
    <x v="1"/>
    <x v="2"/>
    <x v="0"/>
    <x v="0"/>
    <x v="2"/>
    <x v="1"/>
    <x v="0"/>
    <x v="0"/>
    <x v="0"/>
    <x v="1"/>
    <n v="-16721.349999999999"/>
  </r>
  <r>
    <s v="P0900661"/>
    <x v="0"/>
    <s v="IPM09010"/>
    <x v="8"/>
    <x v="5"/>
    <s v="Portland FSA Storage and Load Out Facility"/>
    <x v="7"/>
    <n v="1039000"/>
    <n v="99490.22"/>
    <n v="1236.4000000000001"/>
    <n v="924524.54"/>
    <n v="1024014.76"/>
    <s v="Raffaele"/>
    <s v="D'agostino"/>
    <s v="PTS01"/>
    <d v="2009-07-08T00:00:00"/>
    <x v="13"/>
    <x v="4"/>
    <x v="2"/>
    <x v="0"/>
    <x v="0"/>
    <x v="2"/>
    <x v="1"/>
    <x v="0"/>
    <x v="1"/>
    <x v="0"/>
    <x v="1"/>
    <n v="23851.78"/>
  </r>
  <r>
    <s v="P0900663"/>
    <x v="1"/>
    <s v="IGO09004.90"/>
    <x v="3"/>
    <x v="0"/>
    <s v="GI PDC Engulfment Response Kits"/>
    <x v="5"/>
    <n v="8040"/>
    <n v="67.650000000000006"/>
    <n v="0"/>
    <n v="5864.69"/>
    <n v="5932.34"/>
    <s v="Andy"/>
    <s v="Roscher"/>
    <s v="GD012"/>
    <d v="2009-07-23T00:00:00"/>
    <x v="6"/>
    <x v="1"/>
    <x v="2"/>
    <x v="0"/>
    <x v="0"/>
    <x v="2"/>
    <x v="1"/>
    <x v="0"/>
    <x v="0"/>
    <x v="0"/>
    <x v="1"/>
    <n v="0"/>
  </r>
  <r>
    <s v="P0900666"/>
    <x v="1"/>
    <s v="IGO09004.100"/>
    <x v="3"/>
    <x v="0"/>
    <s v="1st NH3 Magnum Valve Upgrades"/>
    <x v="5"/>
    <n v="46168"/>
    <n v="49083.55"/>
    <n v="0"/>
    <n v="0"/>
    <n v="49083.55"/>
    <s v="Jordan"/>
    <s v="Blackmur"/>
    <s v="GOU01"/>
    <d v="2009-07-29T00:00:00"/>
    <x v="6"/>
    <x v="1"/>
    <x v="2"/>
    <x v="0"/>
    <x v="0"/>
    <x v="2"/>
    <x v="1"/>
    <x v="0"/>
    <x v="0"/>
    <x v="0"/>
    <x v="1"/>
    <n v="0"/>
  </r>
  <r>
    <s v="P0900669"/>
    <x v="0"/>
    <s v="IGE09023"/>
    <x v="6"/>
    <x v="0"/>
    <s v="Driver Acid self loading"/>
    <x v="7"/>
    <n v="134035"/>
    <n v="17163.71"/>
    <n v="0"/>
    <n v="123048.93"/>
    <n v="140212.64000000001"/>
    <s v="Donald"/>
    <s v="Ahern"/>
    <s v="GES01"/>
    <d v="2009-08-05T00:00:00"/>
    <x v="11"/>
    <x v="4"/>
    <x v="0"/>
    <x v="0"/>
    <x v="2"/>
    <x v="2"/>
    <x v="1"/>
    <x v="0"/>
    <x v="1"/>
    <x v="0"/>
    <x v="1"/>
    <n v="0"/>
  </r>
  <r>
    <s v="P0900673"/>
    <x v="1"/>
    <s v="IGU09008"/>
    <x v="3"/>
    <x v="0"/>
    <s v="Urea Solution Load Out Facility Upgrade"/>
    <x v="5"/>
    <n v="169497"/>
    <n v="133817.18"/>
    <n v="0"/>
    <n v="16788.34"/>
    <n v="150605.51999999999"/>
    <s v="Daniel"/>
    <s v="Morton"/>
    <s v="GOU01"/>
    <d v="2009-08-19T00:00:00"/>
    <x v="6"/>
    <x v="1"/>
    <x v="2"/>
    <x v="0"/>
    <x v="0"/>
    <x v="2"/>
    <x v="1"/>
    <x v="0"/>
    <x v="0"/>
    <x v="0"/>
    <x v="1"/>
    <n v="1934.55"/>
  </r>
  <r>
    <s v="P0900674"/>
    <x v="2"/>
    <s v="SPO09007"/>
    <x v="4"/>
    <x v="0"/>
    <s v="Kitchen Equipment Replacement"/>
    <x v="2"/>
    <n v="59000"/>
    <n v="25485"/>
    <n v="0"/>
    <n v="30010"/>
    <n v="55495"/>
    <s v="John"/>
    <s v="Gretton"/>
    <s v="SPZ02"/>
    <d v="2009-08-19T00:00:00"/>
    <x v="17"/>
    <x v="1"/>
    <x v="2"/>
    <x v="0"/>
    <x v="0"/>
    <x v="1"/>
    <x v="1"/>
    <x v="0"/>
    <x v="0"/>
    <x v="0"/>
    <x v="1"/>
    <n v="0"/>
  </r>
  <r>
    <s v="P0900676"/>
    <x v="3"/>
    <s v="SMI09021"/>
    <x v="4"/>
    <x v="0"/>
    <s v="Mt Isa Sulphur Bund Stage 1 Upgrade"/>
    <x v="3"/>
    <n v="186120"/>
    <n v="180206.37"/>
    <n v="0"/>
    <n v="4377.5"/>
    <n v="184583.87"/>
    <s v="Brett"/>
    <s v="Landells"/>
    <s v="SMS01"/>
    <d v="2009-08-19T00:00:00"/>
    <x v="4"/>
    <x v="1"/>
    <x v="2"/>
    <x v="0"/>
    <x v="0"/>
    <x v="1"/>
    <x v="1"/>
    <x v="0"/>
    <x v="0"/>
    <x v="0"/>
    <x v="1"/>
    <n v="0"/>
  </r>
  <r>
    <s v="P0900677"/>
    <x v="2"/>
    <s v="SPP09013"/>
    <x v="4"/>
    <x v="0"/>
    <s v="Reactor 1B Floor Repairs and Modification"/>
    <x v="3"/>
    <n v="1766299"/>
    <n v="50606.75"/>
    <n v="0"/>
    <n v="1239593.43"/>
    <n v="1290200.18"/>
    <s v="David"/>
    <s v="Rowbottom"/>
    <s v="SPP01"/>
    <d v="2009-08-19T00:00:00"/>
    <x v="17"/>
    <x v="1"/>
    <x v="2"/>
    <x v="0"/>
    <x v="0"/>
    <x v="2"/>
    <x v="1"/>
    <x v="0"/>
    <x v="0"/>
    <x v="0"/>
    <x v="1"/>
    <n v="1697.4"/>
  </r>
  <r>
    <s v="P0900678"/>
    <x v="2"/>
    <s v="SPO09014"/>
    <x v="4"/>
    <x v="0"/>
    <s v="ICP- OES"/>
    <x v="2"/>
    <n v="127000"/>
    <n v="126186"/>
    <n v="0"/>
    <n v="0"/>
    <n v="126186"/>
    <s v="Susan"/>
    <s v="Lucas"/>
    <s v="SPZ03"/>
    <d v="2009-08-19T00:00:00"/>
    <x v="17"/>
    <x v="1"/>
    <x v="2"/>
    <x v="0"/>
    <x v="0"/>
    <x v="2"/>
    <x v="1"/>
    <x v="0"/>
    <x v="0"/>
    <x v="0"/>
    <x v="1"/>
    <n v="0"/>
  </r>
  <r>
    <s v="P0900679"/>
    <x v="3"/>
    <s v="SMI09022"/>
    <x v="4"/>
    <x v="0"/>
    <s v="SO2 Blowers' Cooling Water Supply"/>
    <x v="3"/>
    <n v="469325"/>
    <n v="240342.12"/>
    <n v="0"/>
    <n v="109910.65"/>
    <n v="350252.77"/>
    <s v="Nicholas"/>
    <s v="Hogan"/>
    <s v="SMS01"/>
    <d v="2009-08-19T00:00:00"/>
    <x v="4"/>
    <x v="1"/>
    <x v="2"/>
    <x v="0"/>
    <x v="0"/>
    <x v="2"/>
    <x v="1"/>
    <x v="0"/>
    <x v="0"/>
    <x v="0"/>
    <x v="1"/>
    <n v="0"/>
  </r>
  <r>
    <s v="P0900682"/>
    <x v="1"/>
    <s v="IGO09004.130"/>
    <x v="3"/>
    <x v="0"/>
    <s v="CEP GI PDC Phosphate Shed Lighting"/>
    <x v="5"/>
    <n v="6060"/>
    <n v="6666"/>
    <n v="0"/>
    <n v="0"/>
    <n v="6666"/>
    <s v="Andy"/>
    <s v="Roscher"/>
    <s v="GD003"/>
    <d v="2009-08-27T00:00:00"/>
    <x v="6"/>
    <x v="1"/>
    <x v="2"/>
    <x v="0"/>
    <x v="0"/>
    <x v="2"/>
    <x v="1"/>
    <x v="0"/>
    <x v="0"/>
    <x v="0"/>
    <x v="1"/>
    <n v="-1545.93"/>
  </r>
  <r>
    <s v="P0900683"/>
    <x v="1"/>
    <s v="IGU09002"/>
    <x v="3"/>
    <x v="0"/>
    <s v="Replace E750 bank 5 tube bundle"/>
    <x v="3"/>
    <n v="426954"/>
    <n v="386943.1"/>
    <n v="39583.410000000003"/>
    <n v="0"/>
    <n v="386943.1"/>
    <s v="Jordan"/>
    <s v="Blackmur"/>
    <s v="GOU01"/>
    <d v="2009-08-28T00:00:00"/>
    <x v="6"/>
    <x v="1"/>
    <x v="2"/>
    <x v="0"/>
    <x v="0"/>
    <x v="1"/>
    <x v="1"/>
    <x v="0"/>
    <x v="0"/>
    <x v="0"/>
    <x v="1"/>
    <n v="150881.46"/>
  </r>
  <r>
    <s v="P0900685"/>
    <x v="0"/>
    <s v="IPM09006"/>
    <x v="8"/>
    <x v="0"/>
    <s v="Granulation Screen Hut Filter Relocation"/>
    <x v="5"/>
    <n v="16700"/>
    <n v="929.75"/>
    <n v="0"/>
    <n v="14978.9"/>
    <n v="15908.65"/>
    <s v="Karl"/>
    <s v="Nowakowski"/>
    <s v="PTS01"/>
    <d v="2009-09-07T00:00:00"/>
    <x v="13"/>
    <x v="4"/>
    <x v="2"/>
    <x v="0"/>
    <x v="0"/>
    <x v="2"/>
    <x v="1"/>
    <x v="0"/>
    <x v="0"/>
    <x v="0"/>
    <x v="1"/>
    <n v="0"/>
  </r>
  <r>
    <s v="P0900686"/>
    <x v="1"/>
    <s v="IGO09004.160"/>
    <x v="3"/>
    <x v="0"/>
    <s v="DR2800 Spectrophotometer"/>
    <x v="2"/>
    <n v="6596"/>
    <n v="6540"/>
    <n v="0"/>
    <n v="0"/>
    <n v="6540"/>
    <s v="Helen"/>
    <s v="Davis"/>
    <s v="GOU03"/>
    <d v="2009-09-07T00:00:00"/>
    <x v="6"/>
    <x v="1"/>
    <x v="2"/>
    <x v="0"/>
    <x v="0"/>
    <x v="2"/>
    <x v="1"/>
    <x v="0"/>
    <x v="0"/>
    <x v="0"/>
    <x v="1"/>
    <n v="0"/>
  </r>
  <r>
    <s v="P0900688"/>
    <x v="1"/>
    <s v="IGO09004.150"/>
    <x v="3"/>
    <x v="0"/>
    <s v="Building136 Canteen Exhaust Canopy"/>
    <x v="2"/>
    <n v="26378"/>
    <n v="28013.88"/>
    <n v="0"/>
    <n v="1001.12"/>
    <n v="29015"/>
    <s v="John"/>
    <s v="Smith"/>
    <s v="GW001"/>
    <d v="2009-09-07T00:00:00"/>
    <x v="6"/>
    <x v="1"/>
    <x v="0"/>
    <x v="2"/>
    <x v="0"/>
    <x v="2"/>
    <x v="1"/>
    <x v="0"/>
    <x v="0"/>
    <x v="0"/>
    <x v="1"/>
    <n v="-133.36000000000001"/>
  </r>
  <r>
    <s v="P0900689"/>
    <x v="1"/>
    <s v="IGO09004.170"/>
    <x v="3"/>
    <x v="0"/>
    <s v="CEP GI PDC Wharf Power Upgrades"/>
    <x v="5"/>
    <n v="12586"/>
    <n v="13453.91"/>
    <n v="0"/>
    <n v="0"/>
    <n v="13453.91"/>
    <s v="Andy"/>
    <s v="Roscher"/>
    <s v="GD010"/>
    <d v="2009-09-07T00:00:00"/>
    <x v="6"/>
    <x v="1"/>
    <x v="2"/>
    <x v="0"/>
    <x v="0"/>
    <x v="2"/>
    <x v="1"/>
    <x v="0"/>
    <x v="0"/>
    <x v="0"/>
    <x v="1"/>
    <n v="0"/>
  </r>
  <r>
    <s v="P0900690"/>
    <x v="2"/>
    <s v="SPP09005"/>
    <x v="4"/>
    <x v="0"/>
    <s v="Replace Existing HF Analyser"/>
    <x v="5"/>
    <n v="48061"/>
    <n v="43653.94"/>
    <n v="0"/>
    <n v="574.80999999999995"/>
    <n v="44228.75"/>
    <s v="Rehne"/>
    <s v="Andersen"/>
    <s v="SPP01"/>
    <d v="2009-09-07T00:00:00"/>
    <x v="17"/>
    <x v="1"/>
    <x v="2"/>
    <x v="0"/>
    <x v="0"/>
    <x v="2"/>
    <x v="1"/>
    <x v="0"/>
    <x v="0"/>
    <x v="0"/>
    <x v="1"/>
    <n v="0"/>
  </r>
  <r>
    <s v="P0900691"/>
    <x v="0"/>
    <s v="IPM09001"/>
    <x v="8"/>
    <x v="0"/>
    <s v="Den Tunnel Duct Replacement"/>
    <x v="3"/>
    <n v="96000"/>
    <n v="45640"/>
    <n v="0"/>
    <n v="8601.5"/>
    <n v="54241.5"/>
    <s v="Karl"/>
    <s v="Nowakowski"/>
    <s v="PTS01"/>
    <d v="2009-09-07T00:00:00"/>
    <x v="13"/>
    <x v="4"/>
    <x v="2"/>
    <x v="0"/>
    <x v="0"/>
    <x v="1"/>
    <x v="1"/>
    <x v="0"/>
    <x v="0"/>
    <x v="0"/>
    <x v="1"/>
    <n v="3990"/>
  </r>
  <r>
    <s v="P0900692"/>
    <x v="2"/>
    <s v="SPO09006"/>
    <x v="4"/>
    <x v="2"/>
    <s v="Power station fuel valve replacement"/>
    <x v="3"/>
    <n v="26000"/>
    <n v="22588.55"/>
    <n v="0"/>
    <n v="0"/>
    <n v="22588.55"/>
    <s v="Philip"/>
    <s v="Chapman"/>
    <s v="SPZ08"/>
    <d v="2009-09-08T00:00:00"/>
    <x v="17"/>
    <x v="1"/>
    <x v="2"/>
    <x v="0"/>
    <x v="0"/>
    <x v="2"/>
    <x v="1"/>
    <x v="0"/>
    <x v="0"/>
    <x v="0"/>
    <x v="1"/>
    <n v="0"/>
  </r>
  <r>
    <s v="P0900696"/>
    <x v="0"/>
    <s v="ISO09003"/>
    <x v="0"/>
    <x v="0"/>
    <s v="Devonport fluid application pump upgrade"/>
    <x v="2"/>
    <n v="5000"/>
    <n v="-1249.8"/>
    <n v="0"/>
    <n v="1704.8"/>
    <n v="455"/>
    <s v="Corey"/>
    <s v="Harris"/>
    <s v="FWD03"/>
    <d v="2009-09-17T00:00:00"/>
    <x v="16"/>
    <x v="5"/>
    <x v="2"/>
    <x v="0"/>
    <x v="0"/>
    <x v="1"/>
    <x v="1"/>
    <x v="0"/>
    <x v="0"/>
    <x v="0"/>
    <x v="1"/>
    <n v="0"/>
  </r>
  <r>
    <s v="P0900697"/>
    <x v="2"/>
    <s v="SPP09007"/>
    <x v="4"/>
    <x v="2"/>
    <s v="Filter Carrier Belt Change-outs"/>
    <x v="3"/>
    <n v="1343783"/>
    <n v="1381915.35"/>
    <n v="0"/>
    <n v="0"/>
    <n v="1381915.35"/>
    <s v="Gavin"/>
    <s v="Blaik"/>
    <s v="SPP01"/>
    <d v="2009-09-18T00:00:00"/>
    <x v="17"/>
    <x v="1"/>
    <x v="2"/>
    <x v="0"/>
    <x v="0"/>
    <x v="2"/>
    <x v="1"/>
    <x v="0"/>
    <x v="0"/>
    <x v="0"/>
    <x v="1"/>
    <n v="0"/>
  </r>
  <r>
    <s v="P0900698"/>
    <x v="3"/>
    <s v="SMI09008"/>
    <x v="4"/>
    <x v="0"/>
    <s v="Trial - Install Baldwin SO3 removal System"/>
    <x v="5"/>
    <n v="32000"/>
    <n v="26429.91"/>
    <n v="0"/>
    <n v="0"/>
    <n v="26429.91"/>
    <s v="Rehne"/>
    <s v="Andersen"/>
    <s v="SMS01"/>
    <d v="2009-09-18T00:00:00"/>
    <x v="4"/>
    <x v="1"/>
    <x v="2"/>
    <x v="0"/>
    <x v="0"/>
    <x v="1"/>
    <x v="1"/>
    <x v="0"/>
    <x v="0"/>
    <x v="0"/>
    <x v="1"/>
    <n v="8.59"/>
  </r>
  <r>
    <s v="P0900700"/>
    <x v="1"/>
    <s v="IGO09004.180"/>
    <x v="3"/>
    <x v="0"/>
    <s v="C601 - Replace Faulty Speed Controller"/>
    <x v="3"/>
    <n v="49543"/>
    <n v="29890"/>
    <n v="0"/>
    <n v="0"/>
    <n v="29890"/>
    <s v="Elliott"/>
    <s v="York"/>
    <s v="GOA01"/>
    <d v="2009-09-18T00:00:00"/>
    <x v="6"/>
    <x v="1"/>
    <x v="2"/>
    <x v="0"/>
    <x v="0"/>
    <x v="1"/>
    <x v="1"/>
    <x v="0"/>
    <x v="0"/>
    <x v="0"/>
    <x v="1"/>
    <n v="0"/>
  </r>
  <r>
    <s v="P0900701"/>
    <x v="4"/>
    <s v="IFI09007"/>
    <x v="7"/>
    <x v="7"/>
    <s v="Marvel Client Lotus Notes Administration Software"/>
    <x v="12"/>
    <n v="40000"/>
    <n v="1"/>
    <n v="0"/>
    <n v="0"/>
    <n v="1"/>
    <s v="Terry"/>
    <s v="Frankish"/>
    <s v="ZI001"/>
    <d v="2009-09-25T00:00:00"/>
    <x v="12"/>
    <x v="4"/>
    <x v="2"/>
    <x v="0"/>
    <x v="0"/>
    <x v="2"/>
    <x v="1"/>
    <x v="0"/>
    <x v="0"/>
    <x v="0"/>
    <x v="1"/>
    <n v="1"/>
  </r>
  <r>
    <s v="P0900702"/>
    <x v="4"/>
    <s v="IFI09008"/>
    <x v="9"/>
    <x v="8"/>
    <s v="IPL Payroll in-source"/>
    <x v="12"/>
    <n v="300000"/>
    <n v="265803.90000000002"/>
    <n v="0"/>
    <n v="0"/>
    <n v="265803.90000000002"/>
    <s v="Rod"/>
    <s v="Penfound"/>
    <s v="ZP003"/>
    <d v="2009-09-25T00:00:00"/>
    <x v="12"/>
    <x v="4"/>
    <x v="2"/>
    <x v="0"/>
    <x v="0"/>
    <x v="1"/>
    <x v="1"/>
    <x v="0"/>
    <x v="0"/>
    <x v="0"/>
    <x v="1"/>
    <n v="30000"/>
  </r>
  <r>
    <s v="P1000706"/>
    <x v="1"/>
    <s v="IGO10001.10"/>
    <x v="3"/>
    <x v="0"/>
    <s v="Computer Server Room Replacement of A/C Unit"/>
    <x v="2"/>
    <n v="38390"/>
    <n v="35080"/>
    <n v="0"/>
    <n v="0"/>
    <n v="35080"/>
    <s v="John"/>
    <s v="Smith"/>
    <s v="GW001"/>
    <d v="2009-10-18T00:00:00"/>
    <x v="6"/>
    <x v="1"/>
    <x v="0"/>
    <x v="2"/>
    <x v="0"/>
    <x v="2"/>
    <x v="0"/>
    <x v="0"/>
    <x v="0"/>
    <x v="0"/>
    <x v="0"/>
    <n v="0"/>
  </r>
  <r>
    <s v="P1000707"/>
    <x v="0"/>
    <s v="INO10001"/>
    <x v="2"/>
    <x v="9"/>
    <s v="FEL Townsville PDC"/>
    <x v="2"/>
    <n v="275000"/>
    <n v="272310"/>
    <n v="0"/>
    <n v="0"/>
    <n v="272310"/>
    <s v="David"/>
    <s v="Collins"/>
    <s v="FWT01"/>
    <d v="2009-10-23T00:00:00"/>
    <x v="7"/>
    <x v="1"/>
    <x v="2"/>
    <x v="0"/>
    <x v="0"/>
    <x v="2"/>
    <x v="0"/>
    <x v="0"/>
    <x v="0"/>
    <x v="0"/>
    <x v="0"/>
    <n v="0"/>
  </r>
  <r>
    <s v="P1000709"/>
    <x v="1"/>
    <s v="IGO10001.20"/>
    <x v="3"/>
    <x v="0"/>
    <s v="Safety shower &amp; eye wash at Drum Depot"/>
    <x v="5"/>
    <n v="8150"/>
    <n v="7838.56"/>
    <n v="7838.56"/>
    <n v="0"/>
    <n v="7838.56"/>
    <s v="Khe"/>
    <s v="Tan"/>
    <s v="GE005"/>
    <d v="2009-10-26T00:00:00"/>
    <x v="6"/>
    <x v="1"/>
    <x v="2"/>
    <x v="0"/>
    <x v="0"/>
    <x v="2"/>
    <x v="0"/>
    <x v="0"/>
    <x v="0"/>
    <x v="0"/>
    <x v="0"/>
    <n v="0"/>
  </r>
  <r>
    <s v="P1000710"/>
    <x v="1"/>
    <s v="IGO10001.30"/>
    <x v="3"/>
    <x v="0"/>
    <s v="T209A Venturi Scrubber Upgrade"/>
    <x v="5"/>
    <n v="45109"/>
    <n v="47870.41"/>
    <n v="0"/>
    <n v="0"/>
    <n v="47870.41"/>
    <s v="Daniel"/>
    <s v="O'shea"/>
    <s v="GOG06"/>
    <d v="2009-10-28T00:00:00"/>
    <x v="6"/>
    <x v="1"/>
    <x v="2"/>
    <x v="0"/>
    <x v="0"/>
    <x v="2"/>
    <x v="0"/>
    <x v="0"/>
    <x v="0"/>
    <x v="0"/>
    <x v="0"/>
    <n v="0"/>
  </r>
  <r>
    <s v="P1000718"/>
    <x v="2"/>
    <s v="SPP10002"/>
    <x v="4"/>
    <x v="10"/>
    <s v="Phos Acid primary scrubber performance improvement"/>
    <x v="12"/>
    <n v="230000"/>
    <n v="213756.17"/>
    <n v="0"/>
    <n v="0"/>
    <n v="213756.17"/>
    <s v="Lodewyk"/>
    <s v="Merwe"/>
    <s v="SPP01"/>
    <d v="2009-11-03T00:00:00"/>
    <x v="17"/>
    <x v="1"/>
    <x v="2"/>
    <x v="0"/>
    <x v="0"/>
    <x v="1"/>
    <x v="0"/>
    <x v="0"/>
    <x v="0"/>
    <x v="0"/>
    <x v="0"/>
    <n v="0"/>
  </r>
  <r>
    <s v="P1000723"/>
    <x v="1"/>
    <s v="IGO09012"/>
    <x v="3"/>
    <x v="10"/>
    <s v="Phase 2 DYNO NOBEL RELOCATION"/>
    <x v="12"/>
    <n v="4276983"/>
    <n v="3207816.79"/>
    <n v="264950.11"/>
    <n v="0"/>
    <n v="3207816.79"/>
    <s v="Anthony"/>
    <s v="Galloway"/>
    <s v="GW001"/>
    <d v="2009-11-10T00:00:00"/>
    <x v="6"/>
    <x v="1"/>
    <x v="5"/>
    <x v="5"/>
    <x v="0"/>
    <x v="1"/>
    <x v="0"/>
    <x v="0"/>
    <x v="0"/>
    <x v="1"/>
    <x v="0"/>
    <n v="615664.41"/>
  </r>
  <r>
    <s v="P1000726"/>
    <x v="1"/>
    <s v="IGO10001.60"/>
    <x v="3"/>
    <x v="0"/>
    <s v="DR9002 A&amp;B Hold Down Balls Procurement"/>
    <x v="3"/>
    <n v="18425"/>
    <n v="10238.48"/>
    <n v="0"/>
    <n v="0"/>
    <n v="10238.48"/>
    <s v="Daniel"/>
    <s v="Morton"/>
    <s v="GOC09"/>
    <d v="2009-11-18T00:00:00"/>
    <x v="6"/>
    <x v="1"/>
    <x v="2"/>
    <x v="0"/>
    <x v="0"/>
    <x v="2"/>
    <x v="0"/>
    <x v="0"/>
    <x v="0"/>
    <x v="0"/>
    <x v="0"/>
    <n v="0"/>
  </r>
  <r>
    <s v="P1000727"/>
    <x v="2"/>
    <s v="SPO10001.40"/>
    <x v="4"/>
    <x v="2"/>
    <s v="Laboratory Distribution Board Upgrade"/>
    <x v="9"/>
    <n v="12000"/>
    <n v="7283.68"/>
    <n v="0"/>
    <n v="0"/>
    <n v="7283.68"/>
    <s v="Janice"/>
    <s v="Lesmana"/>
    <s v="SPZ03"/>
    <d v="2009-11-18T00:00:00"/>
    <x v="17"/>
    <x v="1"/>
    <x v="2"/>
    <x v="0"/>
    <x v="0"/>
    <x v="1"/>
    <x v="0"/>
    <x v="0"/>
    <x v="0"/>
    <x v="0"/>
    <x v="0"/>
    <n v="185"/>
  </r>
  <r>
    <s v="P1000728"/>
    <x v="1"/>
    <s v="IGO10001.40"/>
    <x v="3"/>
    <x v="0"/>
    <s v="CEP GI PDC Bld 138 Roof Upgrade"/>
    <x v="5"/>
    <n v="9000"/>
    <n v="6906"/>
    <n v="0"/>
    <n v="0"/>
    <n v="6906"/>
    <s v="Andy"/>
    <s v="Roscher"/>
    <s v="GD012"/>
    <d v="2009-11-18T00:00:00"/>
    <x v="6"/>
    <x v="1"/>
    <x v="0"/>
    <x v="2"/>
    <x v="0"/>
    <x v="2"/>
    <x v="0"/>
    <x v="0"/>
    <x v="0"/>
    <x v="0"/>
    <x v="0"/>
    <n v="0"/>
  </r>
  <r>
    <s v="P1000729"/>
    <x v="2"/>
    <s v="SPO10001.50"/>
    <x v="4"/>
    <x v="2"/>
    <s v="DBB Isolation to blowdown valves on Syngas Cooler"/>
    <x v="3"/>
    <n v="45000"/>
    <n v="69670.75"/>
    <n v="0"/>
    <n v="0"/>
    <n v="69670.75"/>
    <s v="Andrew"/>
    <s v="Cleverdon"/>
    <s v="SPA01"/>
    <d v="2009-11-18T00:00:00"/>
    <x v="17"/>
    <x v="1"/>
    <x v="2"/>
    <x v="0"/>
    <x v="0"/>
    <x v="1"/>
    <x v="0"/>
    <x v="0"/>
    <x v="0"/>
    <x v="0"/>
    <x v="0"/>
    <n v="0"/>
  </r>
  <r>
    <s v="P1000730"/>
    <x v="1"/>
    <s v="IGO10001.50"/>
    <x v="3"/>
    <x v="0"/>
    <s v="Brisbane Operations Dust Deposition Gauges"/>
    <x v="5"/>
    <n v="5800"/>
    <n v="5826.16"/>
    <n v="0"/>
    <n v="0"/>
    <n v="5826.16"/>
    <s v="Steven"/>
    <s v="Ling"/>
    <s v="GW001"/>
    <d v="2009-11-18T00:00:00"/>
    <x v="6"/>
    <x v="1"/>
    <x v="2"/>
    <x v="0"/>
    <x v="0"/>
    <x v="2"/>
    <x v="0"/>
    <x v="0"/>
    <x v="0"/>
    <x v="0"/>
    <x v="0"/>
    <n v="0"/>
  </r>
  <r>
    <s v="P1000731"/>
    <x v="1"/>
    <s v="IGO10001.80"/>
    <x v="3"/>
    <x v="0"/>
    <s v="Replacement Muffle Furnace"/>
    <x v="2"/>
    <n v="3850"/>
    <n v="3850"/>
    <n v="0"/>
    <n v="0"/>
    <n v="3850"/>
    <s v="Doug"/>
    <s v="Bennett"/>
    <s v="GW004"/>
    <d v="2009-11-18T00:00:00"/>
    <x v="6"/>
    <x v="1"/>
    <x v="2"/>
    <x v="0"/>
    <x v="0"/>
    <x v="2"/>
    <x v="0"/>
    <x v="0"/>
    <x v="0"/>
    <x v="0"/>
    <x v="0"/>
    <n v="0"/>
  </r>
  <r>
    <s v="P1000732"/>
    <x v="2"/>
    <s v="SPO10006"/>
    <x v="4"/>
    <x v="0"/>
    <s v="Ice Machine Replacement - Village Wet Canteen"/>
    <x v="2"/>
    <n v="11050"/>
    <n v="10837.2"/>
    <n v="0"/>
    <n v="0"/>
    <n v="10837.2"/>
    <s v="John"/>
    <s v="Gretton"/>
    <s v="SPZ02"/>
    <d v="2009-11-18T00:00:00"/>
    <x v="17"/>
    <x v="1"/>
    <x v="2"/>
    <x v="0"/>
    <x v="0"/>
    <x v="2"/>
    <x v="0"/>
    <x v="0"/>
    <x v="0"/>
    <x v="0"/>
    <x v="0"/>
    <n v="0"/>
  </r>
  <r>
    <s v="P1000733"/>
    <x v="1"/>
    <s v="IGO10001.70"/>
    <x v="3"/>
    <x v="0"/>
    <s v="Crane Mancage"/>
    <x v="5"/>
    <n v="4000"/>
    <n v="4000"/>
    <n v="0"/>
    <n v="0"/>
    <n v="4000"/>
    <s v="Kevin"/>
    <s v="Ramsden"/>
    <s v="GOA01"/>
    <d v="2009-11-18T00:00:00"/>
    <x v="6"/>
    <x v="1"/>
    <x v="2"/>
    <x v="0"/>
    <x v="0"/>
    <x v="2"/>
    <x v="0"/>
    <x v="0"/>
    <x v="0"/>
    <x v="0"/>
    <x v="0"/>
    <n v="0"/>
  </r>
  <r>
    <s v="P1000735"/>
    <x v="3"/>
    <s v="SPO10001.20"/>
    <x v="4"/>
    <x v="0"/>
    <s v="Dangerous Goods Container for Maintenance Area"/>
    <x v="5"/>
    <n v="8115"/>
    <n v="5115"/>
    <n v="0"/>
    <n v="0"/>
    <n v="5115"/>
    <s v="Brett"/>
    <s v="Landells"/>
    <s v="SMS01"/>
    <d v="2009-11-19T00:00:00"/>
    <x v="4"/>
    <x v="1"/>
    <x v="2"/>
    <x v="0"/>
    <x v="0"/>
    <x v="1"/>
    <x v="0"/>
    <x v="0"/>
    <x v="0"/>
    <x v="0"/>
    <x v="0"/>
    <n v="0"/>
  </r>
  <r>
    <s v="P1000736"/>
    <x v="2"/>
    <s v="SPP10004"/>
    <x v="4"/>
    <x v="2"/>
    <s v="HV Tier 2019 Installation"/>
    <x v="7"/>
    <n v="60000"/>
    <n v="36905.47"/>
    <n v="0"/>
    <n v="0"/>
    <n v="36905.47"/>
    <s v="Andrew"/>
    <s v="Cantamessa"/>
    <s v="SPP02"/>
    <d v="2009-11-19T00:00:00"/>
    <x v="17"/>
    <x v="1"/>
    <x v="2"/>
    <x v="0"/>
    <x v="0"/>
    <x v="1"/>
    <x v="0"/>
    <x v="0"/>
    <x v="1"/>
    <x v="0"/>
    <x v="0"/>
    <n v="0"/>
  </r>
  <r>
    <s v="P1000737"/>
    <x v="1"/>
    <s v="IGO10001.90"/>
    <x v="3"/>
    <x v="0"/>
    <s v="New flow Tx onto cooling water line to Urea plant"/>
    <x v="2"/>
    <n v="13500"/>
    <n v="6620"/>
    <n v="0"/>
    <n v="0"/>
    <n v="6620"/>
    <s v="Victor"/>
    <s v="Odman"/>
    <s v="GOU01"/>
    <d v="2009-11-20T00:00:00"/>
    <x v="6"/>
    <x v="1"/>
    <x v="2"/>
    <x v="0"/>
    <x v="0"/>
    <x v="1"/>
    <x v="0"/>
    <x v="0"/>
    <x v="0"/>
    <x v="0"/>
    <x v="0"/>
    <n v="6620"/>
  </r>
  <r>
    <s v="P1000738"/>
    <x v="0"/>
    <s v="IAD10001"/>
    <x v="1"/>
    <x v="9"/>
    <s v="Emergency trailer refurbishment"/>
    <x v="5"/>
    <n v="47000"/>
    <n v="40215"/>
    <n v="0"/>
    <n v="0"/>
    <n v="40215"/>
    <s v="Greg"/>
    <s v="Phillips"/>
    <s v="FRW05"/>
    <d v="2009-11-23T00:00:00"/>
    <x v="18"/>
    <x v="3"/>
    <x v="2"/>
    <x v="0"/>
    <x v="0"/>
    <x v="2"/>
    <x v="0"/>
    <x v="0"/>
    <x v="0"/>
    <x v="0"/>
    <x v="0"/>
    <n v="0"/>
  </r>
  <r>
    <s v="P1000739"/>
    <x v="0"/>
    <s v="ISO10003.10"/>
    <x v="0"/>
    <x v="0"/>
    <s v="Scottsdale Weighbridge safety Hand Railing"/>
    <x v="5"/>
    <n v="27500"/>
    <n v="20485.5"/>
    <n v="0"/>
    <n v="0"/>
    <n v="20485.5"/>
    <s v="Gary"/>
    <s v="Bodnar"/>
    <s v="SC01"/>
    <d v="2009-11-24T00:00:00"/>
    <x v="16"/>
    <x v="5"/>
    <x v="2"/>
    <x v="0"/>
    <x v="0"/>
    <x v="2"/>
    <x v="0"/>
    <x v="0"/>
    <x v="0"/>
    <x v="0"/>
    <x v="0"/>
    <n v="0"/>
  </r>
  <r>
    <s v="P1000742"/>
    <x v="0"/>
    <s v="IPM10003.10"/>
    <x v="8"/>
    <x v="0"/>
    <s v="Rock Reclaim Hopper Grizzly Installation"/>
    <x v="5"/>
    <n v="64000"/>
    <n v="60057.48"/>
    <n v="15695"/>
    <n v="0"/>
    <n v="60057.48"/>
    <s v="Karl"/>
    <s v="Nowakowski"/>
    <s v="PTS02"/>
    <d v="2009-11-24T00:00:00"/>
    <x v="13"/>
    <x v="4"/>
    <x v="2"/>
    <x v="0"/>
    <x v="0"/>
    <x v="1"/>
    <x v="0"/>
    <x v="0"/>
    <x v="0"/>
    <x v="0"/>
    <x v="0"/>
    <n v="15695"/>
  </r>
  <r>
    <s v="P1000744"/>
    <x v="2"/>
    <s v="SPP10005"/>
    <x v="4"/>
    <x v="0"/>
    <s v="Storage Tank 3 Repair Pre Sanction Request"/>
    <x v="3"/>
    <n v="3261039"/>
    <n v="3357857.5"/>
    <n v="0"/>
    <n v="0"/>
    <n v="3357857.5"/>
    <s v="David"/>
    <s v="Rowbottom"/>
    <s v="SPP01"/>
    <d v="2009-11-25T00:00:00"/>
    <x v="17"/>
    <x v="1"/>
    <x v="2"/>
    <x v="0"/>
    <x v="0"/>
    <x v="2"/>
    <x v="0"/>
    <x v="0"/>
    <x v="0"/>
    <x v="1"/>
    <x v="0"/>
    <n v="342815.52"/>
  </r>
  <r>
    <s v="P1000746"/>
    <x v="2"/>
    <s v="SPO10001.60"/>
    <x v="4"/>
    <x v="0"/>
    <s v="Replacement gas flow meter for Ammonia plant"/>
    <x v="6"/>
    <n v="45000"/>
    <n v="46889.94"/>
    <n v="0"/>
    <n v="0"/>
    <n v="46889.94"/>
    <s v="Philip"/>
    <s v="Chapman"/>
    <s v="SPA01"/>
    <d v="2009-11-27T00:00:00"/>
    <x v="17"/>
    <x v="1"/>
    <x v="2"/>
    <x v="0"/>
    <x v="0"/>
    <x v="2"/>
    <x v="0"/>
    <x v="0"/>
    <x v="0"/>
    <x v="0"/>
    <x v="0"/>
    <n v="0"/>
  </r>
  <r>
    <s v="P1000747"/>
    <x v="1"/>
    <s v="IGO10001.120"/>
    <x v="3"/>
    <x v="0"/>
    <s v="Scrubber Pipework Upgrade"/>
    <x v="5"/>
    <n v="49500"/>
    <n v="52190.19"/>
    <n v="0"/>
    <n v="0"/>
    <n v="52190.19"/>
    <s v="Stephen"/>
    <s v="Moon"/>
    <s v="GOG06"/>
    <d v="2009-11-27T00:00:00"/>
    <x v="6"/>
    <x v="1"/>
    <x v="2"/>
    <x v="0"/>
    <x v="0"/>
    <x v="2"/>
    <x v="0"/>
    <x v="0"/>
    <x v="0"/>
    <x v="0"/>
    <x v="0"/>
    <n v="0"/>
  </r>
  <r>
    <s v="P1000748"/>
    <x v="1"/>
    <s v="IGO10001.110"/>
    <x v="3"/>
    <x v="0"/>
    <s v="CV209 Inlet Chutes Upgrade"/>
    <x v="5"/>
    <n v="49940"/>
    <n v="52652.14"/>
    <n v="0"/>
    <n v="0"/>
    <n v="52652.14"/>
    <s v="Stephen"/>
    <s v="Moon"/>
    <s v="GOG06"/>
    <d v="2009-11-27T00:00:00"/>
    <x v="6"/>
    <x v="1"/>
    <x v="2"/>
    <x v="0"/>
    <x v="0"/>
    <x v="2"/>
    <x v="0"/>
    <x v="0"/>
    <x v="0"/>
    <x v="0"/>
    <x v="0"/>
    <n v="0"/>
  </r>
  <r>
    <s v="P1000749"/>
    <x v="6"/>
    <s v="IGO10001.100"/>
    <x v="3"/>
    <x v="0"/>
    <s v="Pinkenba Top Of Load Fall Arrest System"/>
    <x v="5"/>
    <n v="5500"/>
    <n v="4823"/>
    <n v="0"/>
    <n v="0"/>
    <n v="4823"/>
    <s v="Garry"/>
    <s v="Doonan"/>
    <s v="PW002"/>
    <d v="2009-11-27T00:00:00"/>
    <x v="10"/>
    <x v="1"/>
    <x v="2"/>
    <x v="0"/>
    <x v="0"/>
    <x v="2"/>
    <x v="0"/>
    <x v="0"/>
    <x v="0"/>
    <x v="0"/>
    <x v="0"/>
    <n v="0"/>
  </r>
  <r>
    <s v="P1000750"/>
    <x v="1"/>
    <s v="IGG10001"/>
    <x v="3"/>
    <x v="0"/>
    <s v="Tee &amp; Acid Area Enclosure Upgrade"/>
    <x v="5"/>
    <n v="42900"/>
    <n v="45897.62"/>
    <n v="0"/>
    <n v="0"/>
    <n v="45897.62"/>
    <s v="Stephen"/>
    <s v="Moon"/>
    <s v="GOG06"/>
    <d v="2009-11-27T00:00:00"/>
    <x v="6"/>
    <x v="1"/>
    <x v="2"/>
    <x v="0"/>
    <x v="0"/>
    <x v="2"/>
    <x v="0"/>
    <x v="0"/>
    <x v="0"/>
    <x v="0"/>
    <x v="0"/>
    <n v="0"/>
  </r>
  <r>
    <s v="P1000757"/>
    <x v="0"/>
    <s v="P1000757"/>
    <x v="0"/>
    <x v="9"/>
    <s v="Unknown - ISO10001.130"/>
    <x v="0"/>
    <n v="0"/>
    <n v="242877.14"/>
    <n v="0"/>
    <n v="0"/>
    <n v="242877.14"/>
    <m/>
    <m/>
    <m/>
    <d v="1899-12-30T00:00:00"/>
    <x v="0"/>
    <x v="0"/>
    <x v="0"/>
    <x v="0"/>
    <x v="0"/>
    <x v="0"/>
    <x v="0"/>
    <x v="0"/>
    <x v="0"/>
    <x v="0"/>
    <x v="0"/>
    <n v="0"/>
  </r>
  <r>
    <s v="P1000758"/>
    <x v="1"/>
    <s v="IGU10001"/>
    <x v="3"/>
    <x v="5"/>
    <s v="SCR Urea Storage Upgrade"/>
    <x v="5"/>
    <n v="566592"/>
    <n v="565799.6"/>
    <n v="8673.9"/>
    <n v="0"/>
    <n v="565799.6"/>
    <s v="Khe"/>
    <s v="Tan"/>
    <s v="GOU01"/>
    <d v="2009-12-02T00:00:00"/>
    <x v="6"/>
    <x v="1"/>
    <x v="2"/>
    <x v="0"/>
    <x v="0"/>
    <x v="1"/>
    <x v="0"/>
    <x v="0"/>
    <x v="0"/>
    <x v="0"/>
    <x v="0"/>
    <n v="23100.25"/>
  </r>
  <r>
    <s v="P1000759"/>
    <x v="3"/>
    <s v="SMS10002"/>
    <x v="4"/>
    <x v="0"/>
    <s v="Mt Isa VSD Replacement - Stage 2"/>
    <x v="9"/>
    <n v="121000"/>
    <n v="79908"/>
    <n v="0"/>
    <n v="0"/>
    <n v="79908"/>
    <s v="Jim"/>
    <s v="Lagos"/>
    <s v="SMS01"/>
    <d v="2009-12-03T00:00:00"/>
    <x v="4"/>
    <x v="1"/>
    <x v="2"/>
    <x v="0"/>
    <x v="0"/>
    <x v="1"/>
    <x v="0"/>
    <x v="0"/>
    <x v="0"/>
    <x v="0"/>
    <x v="0"/>
    <n v="0"/>
  </r>
  <r>
    <s v="P1000760"/>
    <x v="2"/>
    <s v="SPP10007"/>
    <x v="4"/>
    <x v="2"/>
    <s v="Reactor 2 Long Term Upgrade - Pre-Sanction Funds"/>
    <x v="3"/>
    <n v="1500000"/>
    <n v="8025611.1100000003"/>
    <n v="0"/>
    <n v="0"/>
    <n v="8025611.1100000003"/>
    <s v="David"/>
    <s v="Rowbottom"/>
    <s v="SPP01"/>
    <d v="2009-12-04T00:00:00"/>
    <x v="17"/>
    <x v="1"/>
    <x v="2"/>
    <x v="0"/>
    <x v="0"/>
    <x v="2"/>
    <x v="0"/>
    <x v="0"/>
    <x v="0"/>
    <x v="0"/>
    <x v="0"/>
    <n v="-254281.06"/>
  </r>
  <r>
    <s v="P1000761"/>
    <x v="5"/>
    <s v="IKI10006"/>
    <x v="5"/>
    <x v="6"/>
    <s v="KI Stage 2  continuation upgrade of Shed 2"/>
    <x v="5"/>
    <n v="1000000"/>
    <n v="1068030.46"/>
    <n v="86760.06"/>
    <n v="0"/>
    <n v="1068030.46"/>
    <s v="Lee"/>
    <s v="Appleby"/>
    <s v="NFD10"/>
    <d v="2009-12-04T00:00:00"/>
    <x v="9"/>
    <x v="3"/>
    <x v="0"/>
    <x v="2"/>
    <x v="0"/>
    <x v="1"/>
    <x v="0"/>
    <x v="0"/>
    <x v="0"/>
    <x v="0"/>
    <x v="0"/>
    <n v="486130.06"/>
  </r>
  <r>
    <s v="P1000763"/>
    <x v="0"/>
    <s v="INO10005"/>
    <x v="2"/>
    <x v="6"/>
    <s v="AR(C) Cairns - Unit1 Electrical Upgrade: Stage 1"/>
    <x v="5"/>
    <n v="1196510"/>
    <n v="939216.35"/>
    <n v="24988.34"/>
    <n v="0"/>
    <n v="939216.35"/>
    <s v="Paul"/>
    <s v="Rylewski"/>
    <s v="FWC11"/>
    <d v="2009-12-04T00:00:00"/>
    <x v="7"/>
    <x v="1"/>
    <x v="2"/>
    <x v="0"/>
    <x v="0"/>
    <x v="1"/>
    <x v="0"/>
    <x v="0"/>
    <x v="0"/>
    <x v="0"/>
    <x v="0"/>
    <n v="310382.24"/>
  </r>
  <r>
    <s v="P1000772"/>
    <x v="3"/>
    <s v="SMI09015"/>
    <x v="4"/>
    <x v="2"/>
    <s v="Mt Isa TGset Control System Upgrade"/>
    <x v="3"/>
    <n v="220000"/>
    <n v="62813.81"/>
    <n v="0"/>
    <n v="0"/>
    <n v="62813.81"/>
    <s v="Andrew"/>
    <s v="Cantamessa"/>
    <s v="SMI09"/>
    <d v="2009-12-07T00:00:00"/>
    <x v="4"/>
    <x v="1"/>
    <x v="2"/>
    <x v="0"/>
    <x v="0"/>
    <x v="1"/>
    <x v="0"/>
    <x v="0"/>
    <x v="0"/>
    <x v="0"/>
    <x v="0"/>
    <n v="0"/>
  </r>
  <r>
    <s v="P1000777"/>
    <x v="2"/>
    <s v="SPP10008"/>
    <x v="4"/>
    <x v="2"/>
    <s v="Reslurry Tank replacement"/>
    <x v="3"/>
    <n v="3850000"/>
    <n v="6705115.4500000002"/>
    <n v="0"/>
    <n v="0"/>
    <n v="6705115.4500000002"/>
    <s v="Mark"/>
    <s v="Nash"/>
    <s v="SPP01"/>
    <d v="2009-12-08T00:00:00"/>
    <x v="17"/>
    <x v="1"/>
    <x v="2"/>
    <x v="0"/>
    <x v="0"/>
    <x v="2"/>
    <x v="0"/>
    <x v="0"/>
    <x v="0"/>
    <x v="1"/>
    <x v="0"/>
    <n v="-63133.74"/>
  </r>
  <r>
    <s v="P1000781"/>
    <x v="1"/>
    <s v="IGO10001.130"/>
    <x v="3"/>
    <x v="0"/>
    <s v="Fordigraph 3140C Crosscut Shredder"/>
    <x v="3"/>
    <n v="3548"/>
    <n v="3348"/>
    <n v="0"/>
    <n v="0"/>
    <n v="3348"/>
    <s v="Steven"/>
    <s v="Ling"/>
    <s v="FL004"/>
    <d v="2009-12-14T00:00:00"/>
    <x v="6"/>
    <x v="1"/>
    <x v="2"/>
    <x v="0"/>
    <x v="0"/>
    <x v="2"/>
    <x v="0"/>
    <x v="0"/>
    <x v="0"/>
    <x v="0"/>
    <x v="0"/>
    <n v="3348"/>
  </r>
  <r>
    <s v="P1000783"/>
    <x v="4"/>
    <s v="IFI10002"/>
    <x v="7"/>
    <x v="7"/>
    <s v="Tivoli Storage Manager software (TSM)"/>
    <x v="10"/>
    <n v="65188"/>
    <n v="65188"/>
    <n v="0"/>
    <n v="0"/>
    <n v="65188"/>
    <s v="Martin"/>
    <s v="Janssen"/>
    <s v="ZI004"/>
    <d v="2009-12-16T00:00:00"/>
    <x v="12"/>
    <x v="4"/>
    <x v="2"/>
    <x v="0"/>
    <x v="0"/>
    <x v="2"/>
    <x v="0"/>
    <x v="0"/>
    <x v="0"/>
    <x v="0"/>
    <x v="0"/>
    <n v="0"/>
  </r>
  <r>
    <s v="P1000785"/>
    <x v="4"/>
    <s v="IFI10003"/>
    <x v="9"/>
    <x v="9"/>
    <s v="Workstation for CEO Office"/>
    <x v="5"/>
    <n v="4300"/>
    <n v="4243.91"/>
    <n v="0"/>
    <n v="0"/>
    <n v="4243.91"/>
    <s v="Gita"/>
    <s v="Marinkovic"/>
    <s v="ZA001"/>
    <d v="2009-12-16T00:00:00"/>
    <x v="14"/>
    <x v="4"/>
    <x v="2"/>
    <x v="0"/>
    <x v="0"/>
    <x v="2"/>
    <x v="0"/>
    <x v="0"/>
    <x v="0"/>
    <x v="0"/>
    <x v="0"/>
    <n v="0"/>
  </r>
  <r>
    <s v="P1000786"/>
    <x v="2"/>
    <s v="SPO10001.70"/>
    <x v="4"/>
    <x v="0"/>
    <s v="CB2304 Downstream Earth Leakage Relay Installation"/>
    <x v="5"/>
    <n v="15500"/>
    <n v="2495"/>
    <n v="0"/>
    <n v="0"/>
    <n v="2495"/>
    <s v="Janice"/>
    <s v="Lesmana"/>
    <s v="SPE02"/>
    <d v="2009-12-17T00:00:00"/>
    <x v="17"/>
    <x v="1"/>
    <x v="2"/>
    <x v="0"/>
    <x v="0"/>
    <x v="1"/>
    <x v="0"/>
    <x v="0"/>
    <x v="0"/>
    <x v="0"/>
    <x v="0"/>
    <n v="45"/>
  </r>
  <r>
    <s v="P1000787"/>
    <x v="2"/>
    <s v="SPO09001"/>
    <x v="4"/>
    <x v="0"/>
    <s v="Monument Village Sewage Pond Bypass"/>
    <x v="5"/>
    <n v="198600"/>
    <n v="185261.06"/>
    <n v="20169.900000000001"/>
    <n v="0"/>
    <n v="185261.06"/>
    <s v="Nick"/>
    <s v="Spargo"/>
    <s v="SPZ02"/>
    <d v="2009-12-17T00:00:00"/>
    <x v="17"/>
    <x v="1"/>
    <x v="2"/>
    <x v="0"/>
    <x v="0"/>
    <x v="1"/>
    <x v="0"/>
    <x v="0"/>
    <x v="0"/>
    <x v="0"/>
    <x v="0"/>
    <n v="31028.53"/>
  </r>
  <r>
    <s v="P1000793"/>
    <x v="4"/>
    <s v="IFI10004"/>
    <x v="9"/>
    <x v="7"/>
    <s v="Streamline Ancillary Pricing SAFARI 1.1.3"/>
    <x v="10"/>
    <n v="253000"/>
    <n v="232716.44"/>
    <n v="825"/>
    <n v="0"/>
    <n v="232716.44"/>
    <s v="Paul"/>
    <s v="O'connor"/>
    <s v="ZI006"/>
    <d v="2009-12-18T00:00:00"/>
    <x v="12"/>
    <x v="4"/>
    <x v="2"/>
    <x v="0"/>
    <x v="0"/>
    <x v="1"/>
    <x v="0"/>
    <x v="0"/>
    <x v="0"/>
    <x v="0"/>
    <x v="0"/>
    <n v="147445.87"/>
  </r>
  <r>
    <s v="P1000794"/>
    <x v="1"/>
    <s v="IGA10002"/>
    <x v="3"/>
    <x v="0"/>
    <s v="Capital Spare - GI TP620/21 CW Turbine Rotor"/>
    <x v="6"/>
    <n v="144100"/>
    <n v="132944.51"/>
    <n v="0"/>
    <n v="0"/>
    <n v="132944.51"/>
    <s v="Andy"/>
    <s v="Jackson"/>
    <s v="GOA01"/>
    <d v="2009-12-19T00:00:00"/>
    <x v="6"/>
    <x v="1"/>
    <x v="2"/>
    <x v="0"/>
    <x v="0"/>
    <x v="1"/>
    <x v="0"/>
    <x v="0"/>
    <x v="0"/>
    <x v="0"/>
    <x v="0"/>
    <n v="3836.75"/>
  </r>
  <r>
    <s v="P1000795"/>
    <x v="1"/>
    <s v="IGO09010"/>
    <x v="3"/>
    <x v="0"/>
    <s v="GI Site Fire Protection - Stage Two Funding"/>
    <x v="5"/>
    <n v="354379"/>
    <n v="184461.24"/>
    <n v="63530.89"/>
    <n v="0"/>
    <n v="184461.24"/>
    <s v="Craig"/>
    <s v="Ross"/>
    <s v="GW001"/>
    <d v="2009-12-19T00:00:00"/>
    <x v="6"/>
    <x v="1"/>
    <x v="2"/>
    <x v="0"/>
    <x v="0"/>
    <x v="1"/>
    <x v="0"/>
    <x v="0"/>
    <x v="0"/>
    <x v="0"/>
    <x v="0"/>
    <n v="132332.74"/>
  </r>
  <r>
    <s v="P1000796"/>
    <x v="1"/>
    <s v="IGO09010"/>
    <x v="3"/>
    <x v="0"/>
    <s v="GI Site Fire Protection -Refurbishment"/>
    <x v="5"/>
    <n v="472742"/>
    <n v="541902.15"/>
    <n v="11666.46"/>
    <n v="0"/>
    <n v="541902.15"/>
    <s v="Craig"/>
    <s v="Ross"/>
    <s v="GW001"/>
    <d v="2009-12-19T00:00:00"/>
    <x v="6"/>
    <x v="1"/>
    <x v="2"/>
    <x v="0"/>
    <x v="0"/>
    <x v="1"/>
    <x v="0"/>
    <x v="0"/>
    <x v="0"/>
    <x v="0"/>
    <x v="0"/>
    <n v="203134.28"/>
  </r>
  <r>
    <s v="P1000797"/>
    <x v="1"/>
    <s v="IGO10007"/>
    <x v="3"/>
    <x v="2"/>
    <s v="2011 GI Shutdown Preparation"/>
    <x v="3"/>
    <n v="20432000"/>
    <n v="4523720.29"/>
    <n v="700995.53"/>
    <n v="0"/>
    <n v="4523720.29"/>
    <s v="Dan"/>
    <s v="Miller"/>
    <s v="GOA01"/>
    <d v="2009-12-21T00:00:00"/>
    <x v="6"/>
    <x v="1"/>
    <x v="6"/>
    <x v="6"/>
    <x v="0"/>
    <x v="1"/>
    <x v="0"/>
    <x v="0"/>
    <x v="0"/>
    <x v="1"/>
    <x v="0"/>
    <n v="1904542.25"/>
  </r>
  <r>
    <s v="P1000799"/>
    <x v="1"/>
    <s v="IGI10001"/>
    <x v="3"/>
    <x v="0"/>
    <s v="IBC Dust Venturi Scrubber"/>
    <x v="5"/>
    <n v="298524"/>
    <n v="251272.95999999999"/>
    <n v="23716.16"/>
    <n v="0"/>
    <n v="251272.95999999999"/>
    <s v="Khe"/>
    <s v="Tan"/>
    <s v="GD007"/>
    <d v="2009-12-22T00:00:00"/>
    <x v="6"/>
    <x v="1"/>
    <x v="2"/>
    <x v="0"/>
    <x v="0"/>
    <x v="1"/>
    <x v="0"/>
    <x v="0"/>
    <x v="0"/>
    <x v="0"/>
    <x v="0"/>
    <n v="58325.71"/>
  </r>
  <r>
    <s v="P1000802"/>
    <x v="7"/>
    <s v="ISO10005"/>
    <x v="2"/>
    <x v="9"/>
    <s v="Townsville Port Loader"/>
    <x v="2"/>
    <n v="552000"/>
    <n v="537353"/>
    <n v="0"/>
    <n v="0"/>
    <n v="537353"/>
    <s v="David"/>
    <s v="Collins"/>
    <s v="STD01"/>
    <d v="2009-12-23T00:00:00"/>
    <x v="19"/>
    <x v="1"/>
    <x v="2"/>
    <x v="0"/>
    <x v="0"/>
    <x v="1"/>
    <x v="0"/>
    <x v="0"/>
    <x v="0"/>
    <x v="0"/>
    <x v="0"/>
    <n v="0"/>
  </r>
  <r>
    <s v="P1000803"/>
    <x v="1"/>
    <s v="IGO10002"/>
    <x v="3"/>
    <x v="0"/>
    <s v="Stormwater Management Stage 3 Part B"/>
    <x v="5"/>
    <n v="1343383"/>
    <n v="814256.98"/>
    <n v="240165.1"/>
    <n v="0"/>
    <n v="814256.98"/>
    <s v="Peter"/>
    <s v="Vollert"/>
    <s v="GW001"/>
    <d v="2009-12-23T00:00:00"/>
    <x v="6"/>
    <x v="1"/>
    <x v="7"/>
    <x v="7"/>
    <x v="0"/>
    <x v="1"/>
    <x v="0"/>
    <x v="0"/>
    <x v="0"/>
    <x v="0"/>
    <x v="0"/>
    <n v="470296.16"/>
  </r>
  <r>
    <s v="P1000807"/>
    <x v="2"/>
    <s v="SPO10001.90"/>
    <x v="4"/>
    <x v="0"/>
    <s v="Replace Ball Mill barring drive local isolator"/>
    <x v="5"/>
    <n v="13000"/>
    <n v="7968.06"/>
    <n v="0"/>
    <n v="0"/>
    <n v="7968.06"/>
    <s v="Janice"/>
    <s v="Lesmana"/>
    <s v="SPB01"/>
    <d v="2009-12-23T00:00:00"/>
    <x v="17"/>
    <x v="1"/>
    <x v="2"/>
    <x v="0"/>
    <x v="0"/>
    <x v="1"/>
    <x v="0"/>
    <x v="0"/>
    <x v="0"/>
    <x v="0"/>
    <x v="0"/>
    <n v="3343.02"/>
  </r>
  <r>
    <s v="P1000818"/>
    <x v="0"/>
    <s v="INO10004.10"/>
    <x v="2"/>
    <x v="0"/>
    <s v="Mackay - Adhesive Melter"/>
    <x v="2"/>
    <n v="10405"/>
    <n v="10809.5"/>
    <n v="0"/>
    <n v="0"/>
    <n v="10809.5"/>
    <s v="Ray"/>
    <s v="Gofton"/>
    <s v="FWM02"/>
    <d v="2010-02-01T00:00:00"/>
    <x v="7"/>
    <x v="1"/>
    <x v="2"/>
    <x v="0"/>
    <x v="0"/>
    <x v="2"/>
    <x v="0"/>
    <x v="0"/>
    <x v="0"/>
    <x v="0"/>
    <x v="0"/>
    <n v="0"/>
  </r>
  <r>
    <s v="P1000819"/>
    <x v="0"/>
    <s v="IGE10009"/>
    <x v="6"/>
    <x v="0"/>
    <s v="Nth Shore Mains Water Backflow Prevention"/>
    <x v="3"/>
    <n v="49135"/>
    <n v="50036.5"/>
    <n v="0"/>
    <n v="0"/>
    <n v="50036.5"/>
    <s v="David"/>
    <s v="Reeves"/>
    <s v="GES01"/>
    <d v="2010-02-01T00:00:00"/>
    <x v="11"/>
    <x v="4"/>
    <x v="2"/>
    <x v="0"/>
    <x v="0"/>
    <x v="2"/>
    <x v="0"/>
    <x v="0"/>
    <x v="0"/>
    <x v="0"/>
    <x v="0"/>
    <n v="0"/>
  </r>
  <r>
    <s v="P1000820"/>
    <x v="0"/>
    <s v="IGE10006"/>
    <x v="6"/>
    <x v="0"/>
    <s v="GEMC10-002 Rel Acid Loading Bay Mass Flow Meter"/>
    <x v="4"/>
    <n v="29366"/>
    <n v="6492"/>
    <n v="6492"/>
    <n v="0"/>
    <n v="6492"/>
    <s v="Steve"/>
    <s v="Agiejew"/>
    <s v="GES03"/>
    <d v="2010-02-01T00:00:00"/>
    <x v="11"/>
    <x v="4"/>
    <x v="2"/>
    <x v="0"/>
    <x v="0"/>
    <x v="1"/>
    <x v="0"/>
    <x v="0"/>
    <x v="0"/>
    <x v="0"/>
    <x v="0"/>
    <n v="6492"/>
  </r>
  <r>
    <s v="P1000825"/>
    <x v="4"/>
    <s v="IFI10006"/>
    <x v="7"/>
    <x v="7"/>
    <s v="Global Websense Licensing"/>
    <x v="10"/>
    <n v="74865"/>
    <n v="78250.039999999994"/>
    <n v="0"/>
    <n v="0"/>
    <n v="78250.039999999994"/>
    <s v="Boon"/>
    <s v="Beh"/>
    <s v="ZI004"/>
    <d v="2010-02-04T00:00:00"/>
    <x v="12"/>
    <x v="4"/>
    <x v="2"/>
    <x v="0"/>
    <x v="0"/>
    <x v="2"/>
    <x v="0"/>
    <x v="0"/>
    <x v="0"/>
    <x v="0"/>
    <x v="0"/>
    <n v="78250.039999999994"/>
  </r>
  <r>
    <s v="P1000827"/>
    <x v="4"/>
    <s v="IFI10005"/>
    <x v="7"/>
    <x v="7"/>
    <s v="Microsoft SQL Database Licensing"/>
    <x v="10"/>
    <n v="62593"/>
    <n v="59498.19"/>
    <n v="0"/>
    <n v="0"/>
    <n v="59498.19"/>
    <s v="Boon"/>
    <s v="Beh"/>
    <s v="ZI004"/>
    <d v="2010-02-05T00:00:00"/>
    <x v="12"/>
    <x v="4"/>
    <x v="2"/>
    <x v="0"/>
    <x v="0"/>
    <x v="2"/>
    <x v="0"/>
    <x v="0"/>
    <x v="0"/>
    <x v="0"/>
    <x v="0"/>
    <n v="0"/>
  </r>
  <r>
    <s v="P1000829"/>
    <x v="2"/>
    <s v="SPO10001.100"/>
    <x v="4"/>
    <x v="0"/>
    <s v="Workshop Floor Pit for Mantle"/>
    <x v="5"/>
    <n v="9603"/>
    <n v="9560"/>
    <n v="0"/>
    <n v="0"/>
    <n v="9560"/>
    <s v="Gavin"/>
    <s v="Blaik"/>
    <s v="SPB01"/>
    <d v="2010-02-08T00:00:00"/>
    <x v="17"/>
    <x v="1"/>
    <x v="0"/>
    <x v="2"/>
    <x v="0"/>
    <x v="1"/>
    <x v="0"/>
    <x v="0"/>
    <x v="0"/>
    <x v="0"/>
    <x v="0"/>
    <n v="9560"/>
  </r>
  <r>
    <s v="P1000830"/>
    <x v="2"/>
    <s v="SPO10001.110"/>
    <x v="4"/>
    <x v="0"/>
    <s v="Restricted Key System for Electrical Installations"/>
    <x v="5"/>
    <n v="25000"/>
    <n v="23790.03"/>
    <n v="0"/>
    <n v="0"/>
    <n v="23790.03"/>
    <s v="Tony"/>
    <s v="Puglisi"/>
    <s v="SPL04"/>
    <d v="2010-02-08T00:00:00"/>
    <x v="17"/>
    <x v="1"/>
    <x v="2"/>
    <x v="0"/>
    <x v="0"/>
    <x v="1"/>
    <x v="0"/>
    <x v="0"/>
    <x v="0"/>
    <x v="0"/>
    <x v="0"/>
    <n v="0"/>
  </r>
  <r>
    <s v="P1000831"/>
    <x v="0"/>
    <s v="ISO10003.20"/>
    <x v="0"/>
    <x v="0"/>
    <s v="Old despatch office upgrade"/>
    <x v="3"/>
    <n v="45000"/>
    <n v="42257.8"/>
    <n v="5359.55"/>
    <n v="0"/>
    <n v="42257.8"/>
    <s v="Roger"/>
    <s v="Heenan"/>
    <s v="FWX06"/>
    <d v="2010-02-08T00:00:00"/>
    <x v="8"/>
    <x v="2"/>
    <x v="0"/>
    <x v="2"/>
    <x v="0"/>
    <x v="1"/>
    <x v="0"/>
    <x v="0"/>
    <x v="0"/>
    <x v="0"/>
    <x v="0"/>
    <n v="12086.82"/>
  </r>
  <r>
    <s v="P1000832"/>
    <x v="0"/>
    <s v="IAD10002"/>
    <x v="1"/>
    <x v="9"/>
    <s v="Replacement Ride On Lawnmowers"/>
    <x v="2"/>
    <n v="7280"/>
    <n v="6590.9"/>
    <n v="0"/>
    <n v="0"/>
    <n v="6590.9"/>
    <s v="Greg"/>
    <s v="Phillips"/>
    <s v="FLT21"/>
    <d v="2010-02-08T00:00:00"/>
    <x v="18"/>
    <x v="1"/>
    <x v="2"/>
    <x v="0"/>
    <x v="0"/>
    <x v="2"/>
    <x v="0"/>
    <x v="0"/>
    <x v="0"/>
    <x v="0"/>
    <x v="0"/>
    <n v="0"/>
  </r>
  <r>
    <s v="P1000836"/>
    <x v="3"/>
    <s v="SPO10001.120"/>
    <x v="4"/>
    <x v="0"/>
    <s v="Brominators for all CWTs"/>
    <x v="3"/>
    <n v="22000"/>
    <n v="26777"/>
    <n v="0"/>
    <n v="0"/>
    <n v="26777"/>
    <s v="David"/>
    <s v="Manczak"/>
    <s v="SMS01"/>
    <d v="2010-02-10T00:00:00"/>
    <x v="4"/>
    <x v="1"/>
    <x v="2"/>
    <x v="0"/>
    <x v="0"/>
    <x v="1"/>
    <x v="0"/>
    <x v="0"/>
    <x v="0"/>
    <x v="0"/>
    <x v="0"/>
    <n v="25279"/>
  </r>
  <r>
    <s v="P1000840"/>
    <x v="3"/>
    <s v="SPO10001.130"/>
    <x v="4"/>
    <x v="0"/>
    <s v="Olympus 37DLP Thickness Gauge"/>
    <x v="9"/>
    <n v="8000"/>
    <n v="6734.12"/>
    <n v="0"/>
    <n v="0"/>
    <n v="6734.12"/>
    <s v="Alex"/>
    <s v="Jarufe"/>
    <s v="SMS01"/>
    <d v="2010-02-15T00:00:00"/>
    <x v="4"/>
    <x v="1"/>
    <x v="2"/>
    <x v="0"/>
    <x v="0"/>
    <x v="1"/>
    <x v="0"/>
    <x v="0"/>
    <x v="0"/>
    <x v="0"/>
    <x v="0"/>
    <n v="0"/>
  </r>
  <r>
    <s v="P1000841"/>
    <x v="3"/>
    <s v="SPO10001.140"/>
    <x v="4"/>
    <x v="0"/>
    <s v="stainless steel bund purchase"/>
    <x v="5"/>
    <n v="33600"/>
    <n v="28000"/>
    <n v="0"/>
    <n v="0"/>
    <n v="28000"/>
    <s v="David"/>
    <s v="Manczak"/>
    <s v="SMS01"/>
    <d v="2010-02-16T00:00:00"/>
    <x v="4"/>
    <x v="1"/>
    <x v="2"/>
    <x v="0"/>
    <x v="0"/>
    <x v="1"/>
    <x v="0"/>
    <x v="0"/>
    <x v="0"/>
    <x v="0"/>
    <x v="0"/>
    <n v="0"/>
  </r>
  <r>
    <s v="P1000843"/>
    <x v="4"/>
    <s v="IFI10007"/>
    <x v="9"/>
    <x v="0"/>
    <s v="Cable to Cat 6 GI Admin B101 and B100"/>
    <x v="9"/>
    <n v="49000"/>
    <n v="15978"/>
    <n v="15978"/>
    <n v="0"/>
    <n v="15978"/>
    <s v="Fiona"/>
    <s v="Foley"/>
    <s v="ZI005"/>
    <d v="2010-02-16T00:00:00"/>
    <x v="12"/>
    <x v="4"/>
    <x v="2"/>
    <x v="0"/>
    <x v="0"/>
    <x v="1"/>
    <x v="0"/>
    <x v="0"/>
    <x v="0"/>
    <x v="0"/>
    <x v="0"/>
    <n v="15978"/>
  </r>
  <r>
    <s v="P1000844"/>
    <x v="0"/>
    <s v="INO10004.20"/>
    <x v="2"/>
    <x v="0"/>
    <s v="Mackay - Tower &amp; Blender Guarding Upgrade"/>
    <x v="5"/>
    <n v="66196"/>
    <n v="66377.03"/>
    <n v="0"/>
    <n v="0"/>
    <n v="66377.03"/>
    <s v="Ray"/>
    <s v="Gofton"/>
    <s v="FWM08"/>
    <d v="2010-02-16T00:00:00"/>
    <x v="7"/>
    <x v="1"/>
    <x v="2"/>
    <x v="0"/>
    <x v="0"/>
    <x v="1"/>
    <x v="0"/>
    <x v="0"/>
    <x v="0"/>
    <x v="0"/>
    <x v="0"/>
    <n v="9417.25"/>
  </r>
  <r>
    <s v="P1000848"/>
    <x v="1"/>
    <s v="IGO10001.150"/>
    <x v="3"/>
    <x v="0"/>
    <s v="Urea Plant guarding Replacement"/>
    <x v="5"/>
    <n v="45293"/>
    <n v="49135.48"/>
    <n v="0"/>
    <n v="0"/>
    <n v="49135.48"/>
    <s v="Jordan"/>
    <s v="Blackmur"/>
    <s v="GOU01"/>
    <d v="2010-02-19T00:00:00"/>
    <x v="6"/>
    <x v="1"/>
    <x v="2"/>
    <x v="0"/>
    <x v="0"/>
    <x v="2"/>
    <x v="0"/>
    <x v="0"/>
    <x v="0"/>
    <x v="0"/>
    <x v="0"/>
    <n v="49135.48"/>
  </r>
  <r>
    <s v="P1000851"/>
    <x v="1"/>
    <s v="IGI10002"/>
    <x v="3"/>
    <x v="9"/>
    <s v="CEP GI PDC Front End Loader Lease"/>
    <x v="2"/>
    <n v="1028652"/>
    <n v="1028652"/>
    <n v="0"/>
    <n v="0"/>
    <n v="1028652"/>
    <s v="Andy"/>
    <s v="Roscher"/>
    <s v="GD03"/>
    <d v="2010-02-22T00:00:00"/>
    <x v="6"/>
    <x v="1"/>
    <x v="2"/>
    <x v="0"/>
    <x v="0"/>
    <x v="2"/>
    <x v="0"/>
    <x v="0"/>
    <x v="0"/>
    <x v="0"/>
    <x v="0"/>
    <n v="0"/>
  </r>
  <r>
    <s v="P1000852"/>
    <x v="1"/>
    <s v="IGU10002"/>
    <x v="3"/>
    <x v="0"/>
    <s v="Replace E750 Banks 1 2 3 4 6 and 8 Tube Bundles"/>
    <x v="5"/>
    <n v="1969562"/>
    <n v="950371.93"/>
    <n v="924203.83"/>
    <n v="0"/>
    <n v="950371.93"/>
    <s v="David"/>
    <s v="Rowbottom"/>
    <s v="GOU01"/>
    <d v="2010-02-22T00:00:00"/>
    <x v="6"/>
    <x v="1"/>
    <x v="2"/>
    <x v="0"/>
    <x v="0"/>
    <x v="1"/>
    <x v="0"/>
    <x v="0"/>
    <x v="0"/>
    <x v="0"/>
    <x v="0"/>
    <n v="945511.93"/>
  </r>
  <r>
    <s v="P1000853"/>
    <x v="0"/>
    <s v="IGE10005.10"/>
    <x v="6"/>
    <x v="0"/>
    <s v="DG chemical storage cabinets"/>
    <x v="5"/>
    <n v="8348"/>
    <n v="8348"/>
    <n v="0"/>
    <n v="0"/>
    <n v="8348"/>
    <s v="Naomi"/>
    <s v="Malone"/>
    <s v="FMS02"/>
    <d v="2010-02-23T00:00:00"/>
    <x v="20"/>
    <x v="4"/>
    <x v="2"/>
    <x v="0"/>
    <x v="0"/>
    <x v="1"/>
    <x v="0"/>
    <x v="0"/>
    <x v="0"/>
    <x v="0"/>
    <x v="0"/>
    <n v="0"/>
  </r>
  <r>
    <s v="P1000855"/>
    <x v="2"/>
    <s v="SPP10011"/>
    <x v="4"/>
    <x v="2"/>
    <s v="Phos Hill Sulphuric Acid Unloading Bund Upgrade"/>
    <x v="3"/>
    <n v="485781"/>
    <n v="473173.75"/>
    <n v="0"/>
    <n v="0"/>
    <n v="473173.75"/>
    <s v="Jarryd"/>
    <s v="Knickel"/>
    <s v="SPP01"/>
    <d v="2010-02-24T00:00:00"/>
    <x v="17"/>
    <x v="1"/>
    <x v="2"/>
    <x v="0"/>
    <x v="0"/>
    <x v="1"/>
    <x v="0"/>
    <x v="0"/>
    <x v="0"/>
    <x v="0"/>
    <x v="0"/>
    <n v="0"/>
  </r>
  <r>
    <s v="P1000862"/>
    <x v="2"/>
    <s v="SPO10001.160"/>
    <x v="4"/>
    <x v="0"/>
    <s v="Upgrade Instrument/Electrical Clean Room Facility"/>
    <x v="9"/>
    <n v="25000"/>
    <n v="26088.97"/>
    <n v="0"/>
    <n v="0"/>
    <n v="26088.97"/>
    <s v="Tony"/>
    <s v="Puglisi"/>
    <s v="SPL04"/>
    <d v="2010-03-01T00:00:00"/>
    <x v="17"/>
    <x v="1"/>
    <x v="0"/>
    <x v="2"/>
    <x v="0"/>
    <x v="1"/>
    <x v="0"/>
    <x v="0"/>
    <x v="0"/>
    <x v="0"/>
    <x v="0"/>
    <n v="786.66"/>
  </r>
  <r>
    <s v="P1000863"/>
    <x v="1"/>
    <s v="IGO10001.160"/>
    <x v="3"/>
    <x v="0"/>
    <s v="BLD 110 TDC Room"/>
    <x v="2"/>
    <n v="6690"/>
    <n v="4800"/>
    <n v="0"/>
    <n v="0"/>
    <n v="4800"/>
    <s v="Troy"/>
    <s v="Knox"/>
    <s v="GOA01"/>
    <d v="2010-03-01T00:00:00"/>
    <x v="6"/>
    <x v="1"/>
    <x v="2"/>
    <x v="0"/>
    <x v="0"/>
    <x v="2"/>
    <x v="0"/>
    <x v="0"/>
    <x v="0"/>
    <x v="0"/>
    <x v="0"/>
    <n v="0"/>
  </r>
  <r>
    <s v="P1000864"/>
    <x v="2"/>
    <s v="SPO10001.170"/>
    <x v="4"/>
    <x v="0"/>
    <s v="pH Ion Meter"/>
    <x v="2"/>
    <n v="5179"/>
    <n v="5179"/>
    <n v="0"/>
    <n v="0"/>
    <n v="5179"/>
    <s v="Susan"/>
    <s v="Lucas"/>
    <s v="SPZ03"/>
    <d v="2010-03-01T00:00:00"/>
    <x v="17"/>
    <x v="1"/>
    <x v="2"/>
    <x v="0"/>
    <x v="0"/>
    <x v="2"/>
    <x v="0"/>
    <x v="0"/>
    <x v="0"/>
    <x v="0"/>
    <x v="0"/>
    <n v="0"/>
  </r>
  <r>
    <s v="P1000866"/>
    <x v="0"/>
    <s v="ISO10006"/>
    <x v="0"/>
    <x v="0"/>
    <s v="PORT LINCOLN ELECTRICAL UPGRADE"/>
    <x v="5"/>
    <n v="28000"/>
    <n v="27435.93"/>
    <n v="9492"/>
    <n v="0"/>
    <n v="27435.93"/>
    <s v="Damian"/>
    <s v="Hollitt"/>
    <s v="FWE04"/>
    <d v="2010-03-05T00:00:00"/>
    <x v="8"/>
    <x v="2"/>
    <x v="2"/>
    <x v="0"/>
    <x v="0"/>
    <x v="1"/>
    <x v="0"/>
    <x v="0"/>
    <x v="0"/>
    <x v="0"/>
    <x v="0"/>
    <n v="27435.93"/>
  </r>
  <r>
    <s v="P1000867"/>
    <x v="0"/>
    <s v="IGE10005.20"/>
    <x v="6"/>
    <x v="0"/>
    <s v="GEMC08-033 Gate 6 swipe card reader."/>
    <x v="3"/>
    <n v="22000"/>
    <n v="22000"/>
    <n v="0"/>
    <n v="0"/>
    <n v="22000"/>
    <s v="Gary"/>
    <s v="Bodnar"/>
    <s v="GES03"/>
    <d v="2010-03-05T00:00:00"/>
    <x v="11"/>
    <x v="4"/>
    <x v="2"/>
    <x v="0"/>
    <x v="0"/>
    <x v="2"/>
    <x v="0"/>
    <x v="0"/>
    <x v="0"/>
    <x v="0"/>
    <x v="0"/>
    <n v="0"/>
  </r>
  <r>
    <s v="P1000868"/>
    <x v="0"/>
    <s v="IPD10001"/>
    <x v="8"/>
    <x v="6"/>
    <s v="Despatch Lockable Isolators"/>
    <x v="5"/>
    <n v="39000"/>
    <n v="31572.2"/>
    <n v="0"/>
    <n v="0"/>
    <n v="31572.2"/>
    <s v="Karl"/>
    <s v="Nowakowski"/>
    <s v="FWP01"/>
    <d v="2010-03-05T00:00:00"/>
    <x v="21"/>
    <x v="4"/>
    <x v="2"/>
    <x v="0"/>
    <x v="0"/>
    <x v="1"/>
    <x v="0"/>
    <x v="0"/>
    <x v="0"/>
    <x v="0"/>
    <x v="0"/>
    <n v="0"/>
  </r>
  <r>
    <s v="P1000872"/>
    <x v="2"/>
    <s v="SPO10013"/>
    <x v="4"/>
    <x v="0"/>
    <s v="Phosphate Hill UPS Replacements"/>
    <x v="3"/>
    <n v="100000"/>
    <n v="15361.25"/>
    <n v="0"/>
    <n v="0"/>
    <n v="15361.25"/>
    <s v="Hugh"/>
    <s v="Ly"/>
    <s v="SPL04"/>
    <d v="2010-03-08T00:00:00"/>
    <x v="17"/>
    <x v="1"/>
    <x v="2"/>
    <x v="0"/>
    <x v="0"/>
    <x v="1"/>
    <x v="0"/>
    <x v="0"/>
    <x v="0"/>
    <x v="0"/>
    <x v="0"/>
    <n v="315"/>
  </r>
  <r>
    <s v="P1000874"/>
    <x v="3"/>
    <s v="SMS10004"/>
    <x v="4"/>
    <x v="2"/>
    <s v="Mt Isa Sulphuric Acid Loading Bund Upgrade"/>
    <x v="3"/>
    <n v="480080"/>
    <n v="458805.93"/>
    <n v="0"/>
    <n v="0"/>
    <n v="458805.93"/>
    <s v="Jarryd"/>
    <s v="Knickel"/>
    <s v="SMS01"/>
    <d v="2010-03-08T00:00:00"/>
    <x v="4"/>
    <x v="1"/>
    <x v="2"/>
    <x v="0"/>
    <x v="0"/>
    <x v="1"/>
    <x v="0"/>
    <x v="0"/>
    <x v="0"/>
    <x v="0"/>
    <x v="0"/>
    <n v="0"/>
  </r>
  <r>
    <s v="P1000877"/>
    <x v="0"/>
    <s v="IPM10004"/>
    <x v="8"/>
    <x v="6"/>
    <s v="Roofing replacement  Despatch and Workshop Roof."/>
    <x v="2"/>
    <n v="242000"/>
    <n v="228383.32"/>
    <n v="52187.5"/>
    <n v="0"/>
    <n v="228383.32"/>
    <s v="Karl"/>
    <s v="Nowakowski"/>
    <s v="FWP01"/>
    <d v="2010-03-08T00:00:00"/>
    <x v="21"/>
    <x v="4"/>
    <x v="0"/>
    <x v="2"/>
    <x v="0"/>
    <x v="1"/>
    <x v="0"/>
    <x v="0"/>
    <x v="0"/>
    <x v="0"/>
    <x v="0"/>
    <n v="145900"/>
  </r>
  <r>
    <s v="P1000884"/>
    <x v="1"/>
    <s v="IGO10001.190"/>
    <x v="3"/>
    <x v="0"/>
    <s v="E750 Bank 7 De-bottleneck"/>
    <x v="3"/>
    <n v="43256"/>
    <n v="34619.699999999997"/>
    <n v="10489.62"/>
    <n v="0"/>
    <n v="34619.699999999997"/>
    <s v="Stephen"/>
    <s v="Maule"/>
    <s v="GOU01"/>
    <d v="2010-03-11T00:00:00"/>
    <x v="6"/>
    <x v="1"/>
    <x v="2"/>
    <x v="0"/>
    <x v="0"/>
    <x v="1"/>
    <x v="0"/>
    <x v="0"/>
    <x v="0"/>
    <x v="0"/>
    <x v="0"/>
    <n v="29432.01"/>
  </r>
  <r>
    <s v="P1000885"/>
    <x v="6"/>
    <s v="IGO10001.180"/>
    <x v="3"/>
    <x v="0"/>
    <s v="Crop Care Builiding Air Conditioner replacement"/>
    <x v="5"/>
    <n v="19690"/>
    <n v="19600"/>
    <n v="0"/>
    <n v="0"/>
    <n v="19600"/>
    <s v="Garry"/>
    <s v="Doonan"/>
    <s v="PW002"/>
    <d v="2010-03-11T00:00:00"/>
    <x v="10"/>
    <x v="1"/>
    <x v="2"/>
    <x v="0"/>
    <x v="0"/>
    <x v="1"/>
    <x v="0"/>
    <x v="0"/>
    <x v="0"/>
    <x v="0"/>
    <x v="0"/>
    <n v="0"/>
  </r>
  <r>
    <s v="P1000886"/>
    <x v="6"/>
    <s v="IGO10001.170"/>
    <x v="3"/>
    <x v="0"/>
    <s v="Pinkenba PDC Stormwater Monitoring"/>
    <x v="5"/>
    <n v="37980"/>
    <n v="32283.26"/>
    <n v="0"/>
    <n v="0"/>
    <n v="32283.26"/>
    <s v="Steven"/>
    <s v="Ling"/>
    <s v="PW002"/>
    <d v="2010-03-11T00:00:00"/>
    <x v="10"/>
    <x v="1"/>
    <x v="2"/>
    <x v="0"/>
    <x v="0"/>
    <x v="1"/>
    <x v="0"/>
    <x v="0"/>
    <x v="0"/>
    <x v="0"/>
    <x v="0"/>
    <n v="0"/>
  </r>
  <r>
    <s v="P1000889"/>
    <x v="0"/>
    <s v="IGE10011"/>
    <x v="6"/>
    <x v="0"/>
    <s v="Purchase of Land on Seabreeze Parade"/>
    <x v="11"/>
    <n v="300000"/>
    <n v="203280.35"/>
    <n v="0"/>
    <n v="0"/>
    <n v="203280.35"/>
    <s v="Carl"/>
    <s v="Brial"/>
    <s v="GEA01"/>
    <d v="2010-03-15T00:00:00"/>
    <x v="22"/>
    <x v="4"/>
    <x v="0"/>
    <x v="0"/>
    <x v="2"/>
    <x v="2"/>
    <x v="0"/>
    <x v="0"/>
    <x v="0"/>
    <x v="0"/>
    <x v="0"/>
    <n v="3397.86"/>
  </r>
  <r>
    <s v="P1000890"/>
    <x v="2"/>
    <s v="SPO10001.180"/>
    <x v="4"/>
    <x v="0"/>
    <s v="PTFE lined HH filter vacuum hose"/>
    <x v="13"/>
    <n v="48000"/>
    <n v="47744"/>
    <n v="0"/>
    <n v="0"/>
    <n v="47744"/>
    <s v="Regan"/>
    <s v="Kernke"/>
    <s v="SPP01"/>
    <d v="2010-03-16T00:00:00"/>
    <x v="17"/>
    <x v="1"/>
    <x v="2"/>
    <x v="0"/>
    <x v="0"/>
    <x v="1"/>
    <x v="0"/>
    <x v="0"/>
    <x v="0"/>
    <x v="0"/>
    <x v="0"/>
    <n v="0"/>
  </r>
  <r>
    <s v="P1000903"/>
    <x v="1"/>
    <s v="IGA10003"/>
    <x v="3"/>
    <x v="2"/>
    <s v="GIW Ammonia Plant Uprate Project"/>
    <x v="7"/>
    <n v="2750973"/>
    <n v="539712.02"/>
    <n v="22882.5"/>
    <n v="0"/>
    <n v="539712.02"/>
    <s v="David"/>
    <s v="Rowbottom"/>
    <s v="GOA01"/>
    <d v="2010-03-18T00:00:00"/>
    <x v="6"/>
    <x v="1"/>
    <x v="2"/>
    <x v="0"/>
    <x v="0"/>
    <x v="1"/>
    <x v="0"/>
    <x v="0"/>
    <x v="1"/>
    <x v="1"/>
    <x v="0"/>
    <n v="52094.25"/>
  </r>
  <r>
    <s v="P1000905"/>
    <x v="1"/>
    <s v="IGU10003"/>
    <x v="3"/>
    <x v="2"/>
    <s v="E727 Replacement"/>
    <x v="2"/>
    <n v="870067"/>
    <n v="96671.1"/>
    <n v="-77856.899999999994"/>
    <n v="0"/>
    <n v="96671.1"/>
    <s v="Craig"/>
    <s v="Ross"/>
    <s v="GOU01"/>
    <d v="2010-03-18T00:00:00"/>
    <x v="6"/>
    <x v="1"/>
    <x v="2"/>
    <x v="0"/>
    <x v="0"/>
    <x v="1"/>
    <x v="0"/>
    <x v="0"/>
    <x v="0"/>
    <x v="0"/>
    <x v="0"/>
    <n v="31353.599999999999"/>
  </r>
  <r>
    <s v="P1000906"/>
    <x v="6"/>
    <s v="IPI10002"/>
    <x v="3"/>
    <x v="0"/>
    <s v="Upgrade of No 4 Sulphuric Acid Tank - Pinkenba"/>
    <x v="3"/>
    <n v="1400167"/>
    <n v="851108.12"/>
    <n v="101677.96"/>
    <n v="0"/>
    <n v="851108.12"/>
    <s v="Craig"/>
    <s v="Ross"/>
    <s v="PDD09"/>
    <d v="2010-03-18T00:00:00"/>
    <x v="10"/>
    <x v="1"/>
    <x v="2"/>
    <x v="0"/>
    <x v="0"/>
    <x v="1"/>
    <x v="0"/>
    <x v="0"/>
    <x v="0"/>
    <x v="0"/>
    <x v="0"/>
    <n v="625061.21"/>
  </r>
  <r>
    <s v="P1000907"/>
    <x v="1"/>
    <s v="IGA10005"/>
    <x v="3"/>
    <x v="0"/>
    <s v="T301 Refrigeration Upgrade -Supplementary CEP"/>
    <x v="2"/>
    <n v="524743"/>
    <n v="475731.20000000001"/>
    <n v="51562.09"/>
    <n v="0"/>
    <n v="475731.20000000001"/>
    <s v="Craig"/>
    <s v="Ross"/>
    <s v="GOA11"/>
    <d v="2010-03-18T00:00:00"/>
    <x v="6"/>
    <x v="1"/>
    <x v="2"/>
    <x v="0"/>
    <x v="0"/>
    <x v="1"/>
    <x v="0"/>
    <x v="0"/>
    <x v="0"/>
    <x v="0"/>
    <x v="0"/>
    <n v="78508.52"/>
  </r>
  <r>
    <s v="P1000909"/>
    <x v="1"/>
    <s v="IGA10004"/>
    <x v="3"/>
    <x v="0"/>
    <s v="GG4 Engine S/N 675220 Overhaul"/>
    <x v="3"/>
    <n v="900000"/>
    <n v="763416.6"/>
    <n v="0"/>
    <n v="0"/>
    <n v="763416.6"/>
    <s v="Steve"/>
    <s v="Badman"/>
    <s v="GOA01"/>
    <d v="2010-03-18T00:00:00"/>
    <x v="6"/>
    <x v="1"/>
    <x v="2"/>
    <x v="0"/>
    <x v="0"/>
    <x v="1"/>
    <x v="0"/>
    <x v="0"/>
    <x v="0"/>
    <x v="0"/>
    <x v="0"/>
    <n v="299941.44"/>
  </r>
  <r>
    <s v="P1000911"/>
    <x v="4"/>
    <s v="IFI10008"/>
    <x v="7"/>
    <x v="7"/>
    <s v="BOMGAR IT Remote Control system"/>
    <x v="9"/>
    <n v="21257"/>
    <n v="16584.5"/>
    <n v="0"/>
    <n v="0"/>
    <n v="16584.5"/>
    <s v="Fiona"/>
    <s v="Foley"/>
    <s v="ZI004"/>
    <d v="2010-03-22T00:00:00"/>
    <x v="12"/>
    <x v="4"/>
    <x v="2"/>
    <x v="0"/>
    <x v="0"/>
    <x v="2"/>
    <x v="0"/>
    <x v="0"/>
    <x v="0"/>
    <x v="0"/>
    <x v="0"/>
    <n v="-4672.45"/>
  </r>
  <r>
    <s v="P1000913"/>
    <x v="0"/>
    <s v="IWL10003"/>
    <x v="11"/>
    <x v="0"/>
    <s v="Balances and Digestion Blocks"/>
    <x v="2"/>
    <n v="31750"/>
    <n v="28735"/>
    <n v="0"/>
    <n v="0"/>
    <n v="28735"/>
    <s v="Lisa"/>
    <s v="Koch"/>
    <s v="FMS01"/>
    <d v="2010-03-25T00:00:00"/>
    <x v="20"/>
    <x v="4"/>
    <x v="2"/>
    <x v="0"/>
    <x v="0"/>
    <x v="1"/>
    <x v="0"/>
    <x v="0"/>
    <x v="0"/>
    <x v="0"/>
    <x v="0"/>
    <n v="23000"/>
  </r>
  <r>
    <s v="P1000915"/>
    <x v="0"/>
    <s v="INO10004.40"/>
    <x v="2"/>
    <x v="0"/>
    <s v="Cairns-Gas Detector"/>
    <x v="5"/>
    <n v="1650"/>
    <n v="1650"/>
    <n v="0"/>
    <n v="0"/>
    <n v="1650"/>
    <s v="Paul"/>
    <s v="Rylewski"/>
    <s v="FWC09"/>
    <d v="2010-03-25T00:00:00"/>
    <x v="7"/>
    <x v="1"/>
    <x v="2"/>
    <x v="0"/>
    <x v="0"/>
    <x v="2"/>
    <x v="0"/>
    <x v="0"/>
    <x v="0"/>
    <x v="0"/>
    <x v="0"/>
    <n v="0"/>
  </r>
  <r>
    <s v="P1000916"/>
    <x v="0"/>
    <s v="ISO10003.30"/>
    <x v="0"/>
    <x v="0"/>
    <s v="Purchase Land Wallaroo"/>
    <x v="3"/>
    <n v="4000"/>
    <n v="3656"/>
    <n v="0"/>
    <n v="0"/>
    <n v="3656"/>
    <s v="Scott"/>
    <s v="Nairn"/>
    <s v="FWW04"/>
    <d v="2010-03-25T00:00:00"/>
    <x v="8"/>
    <x v="2"/>
    <x v="0"/>
    <x v="0"/>
    <x v="2"/>
    <x v="2"/>
    <x v="0"/>
    <x v="0"/>
    <x v="0"/>
    <x v="0"/>
    <x v="0"/>
    <n v="0"/>
  </r>
  <r>
    <s v="P1000917"/>
    <x v="0"/>
    <s v="INO10004.30"/>
    <x v="2"/>
    <x v="0"/>
    <s v="Mackay PDC - Site Communication Upgrade"/>
    <x v="5"/>
    <n v="7832"/>
    <n v="6894.99"/>
    <n v="6894.99"/>
    <n v="0"/>
    <n v="6894.99"/>
    <s v="Donna"/>
    <s v="Milton"/>
    <s v="FWM08"/>
    <d v="2010-03-25T00:00:00"/>
    <x v="7"/>
    <x v="1"/>
    <x v="2"/>
    <x v="0"/>
    <x v="0"/>
    <x v="1"/>
    <x v="0"/>
    <x v="0"/>
    <x v="0"/>
    <x v="0"/>
    <x v="0"/>
    <n v="6894.99"/>
  </r>
  <r>
    <s v="P1000918"/>
    <x v="0"/>
    <s v="INO10008"/>
    <x v="2"/>
    <x v="0"/>
    <s v="Front end loader squeegee attachment"/>
    <x v="5"/>
    <n v="2100"/>
    <n v="2196"/>
    <n v="0"/>
    <n v="0"/>
    <n v="2196"/>
    <s v="Robert"/>
    <s v="Bowden"/>
    <s v="FWT06"/>
    <d v="2010-03-25T00:00:00"/>
    <x v="23"/>
    <x v="1"/>
    <x v="2"/>
    <x v="0"/>
    <x v="0"/>
    <x v="1"/>
    <x v="0"/>
    <x v="0"/>
    <x v="0"/>
    <x v="0"/>
    <x v="0"/>
    <n v="0"/>
  </r>
  <r>
    <s v="P1000932"/>
    <x v="1"/>
    <s v="IGI10003"/>
    <x v="3"/>
    <x v="5"/>
    <s v="CEP GI PDC Workshop Equipment Upgrade"/>
    <x v="5"/>
    <n v="3662"/>
    <n v="3662"/>
    <n v="0"/>
    <n v="0"/>
    <n v="3662"/>
    <s v="Andy"/>
    <s v="Roscher"/>
    <s v="GD012"/>
    <d v="2010-04-08T00:00:00"/>
    <x v="6"/>
    <x v="1"/>
    <x v="2"/>
    <x v="0"/>
    <x v="0"/>
    <x v="1"/>
    <x v="0"/>
    <x v="0"/>
    <x v="0"/>
    <x v="0"/>
    <x v="0"/>
    <n v="0"/>
  </r>
  <r>
    <s v="P1000933"/>
    <x v="1"/>
    <s v="IGI10004"/>
    <x v="3"/>
    <x v="0"/>
    <s v="CEP GI PDC Eyewash Upgrade"/>
    <x v="5"/>
    <n v="11422"/>
    <n v="7096.8"/>
    <n v="0"/>
    <n v="0"/>
    <n v="7096.8"/>
    <s v="Andy"/>
    <s v="Roscher"/>
    <s v="GD012"/>
    <d v="2010-04-08T00:00:00"/>
    <x v="6"/>
    <x v="1"/>
    <x v="2"/>
    <x v="0"/>
    <x v="0"/>
    <x v="1"/>
    <x v="0"/>
    <x v="0"/>
    <x v="0"/>
    <x v="0"/>
    <x v="0"/>
    <n v="1648.86"/>
  </r>
  <r>
    <s v="P1000934"/>
    <x v="1"/>
    <s v="IGO10001.200"/>
    <x v="3"/>
    <x v="0"/>
    <s v="C902 Level Measurement"/>
    <x v="5"/>
    <n v="10145"/>
    <n v="5118.92"/>
    <n v="5118.92"/>
    <n v="0"/>
    <n v="5118.92"/>
    <s v="Kane"/>
    <s v="Ivers"/>
    <s v="GOC01"/>
    <d v="2010-04-08T00:00:00"/>
    <x v="6"/>
    <x v="1"/>
    <x v="2"/>
    <x v="0"/>
    <x v="0"/>
    <x v="1"/>
    <x v="0"/>
    <x v="0"/>
    <x v="0"/>
    <x v="0"/>
    <x v="0"/>
    <n v="5118.92"/>
  </r>
  <r>
    <s v="P1000935"/>
    <x v="1"/>
    <s v="IGA10006"/>
    <x v="3"/>
    <x v="5"/>
    <s v="BLD 110 control room building services"/>
    <x v="3"/>
    <n v="48455"/>
    <n v="53227.85"/>
    <n v="-800"/>
    <n v="0"/>
    <n v="53227.85"/>
    <s v="Craig"/>
    <s v="Williscroft"/>
    <s v="G"/>
    <d v="2010-04-08T00:00:00"/>
    <x v="6"/>
    <x v="1"/>
    <x v="0"/>
    <x v="2"/>
    <x v="0"/>
    <x v="1"/>
    <x v="0"/>
    <x v="0"/>
    <x v="0"/>
    <x v="0"/>
    <x v="0"/>
    <n v="821.63"/>
  </r>
  <r>
    <s v="P1000941"/>
    <x v="0"/>
    <s v="INO10009"/>
    <x v="2"/>
    <x v="6"/>
    <s v="AR (C) Phase 1 Townsville PDC Redevelopment"/>
    <x v="2"/>
    <n v="765209"/>
    <n v="793126.24"/>
    <n v="43877.49"/>
    <n v="0"/>
    <n v="793126.24"/>
    <s v="Bruce"/>
    <s v="King"/>
    <s v="FWT00"/>
    <d v="2010-04-12T00:00:00"/>
    <x v="23"/>
    <x v="1"/>
    <x v="0"/>
    <x v="2"/>
    <x v="0"/>
    <x v="1"/>
    <x v="0"/>
    <x v="0"/>
    <x v="0"/>
    <x v="0"/>
    <x v="0"/>
    <n v="251449.11"/>
  </r>
  <r>
    <s v="P1000942"/>
    <x v="0"/>
    <s v="IGE10008"/>
    <x v="6"/>
    <x v="0"/>
    <s v="GEMC10-003 Acid Pipe from Wharf to Tanks Monitor"/>
    <x v="5"/>
    <n v="90623"/>
    <n v="88354.32"/>
    <n v="1905.84"/>
    <n v="0"/>
    <n v="88354.32"/>
    <s v="Steve"/>
    <s v="Agiejew"/>
    <s v="GES03"/>
    <d v="2010-04-12T00:00:00"/>
    <x v="11"/>
    <x v="4"/>
    <x v="2"/>
    <x v="0"/>
    <x v="0"/>
    <x v="1"/>
    <x v="0"/>
    <x v="0"/>
    <x v="0"/>
    <x v="0"/>
    <x v="0"/>
    <n v="47941.32"/>
  </r>
  <r>
    <s v="P1000943"/>
    <x v="0"/>
    <s v="IGP10003"/>
    <x v="6"/>
    <x v="0"/>
    <s v="GE0122 Weigh Feeders Control and PLC Upgrade"/>
    <x v="4"/>
    <n v="315368"/>
    <n v="279959.7"/>
    <n v="57452.75"/>
    <n v="0"/>
    <n v="279959.7"/>
    <s v="Steve"/>
    <s v="Agiejew"/>
    <s v="FWL09"/>
    <d v="2010-04-12T00:00:00"/>
    <x v="22"/>
    <x v="4"/>
    <x v="2"/>
    <x v="0"/>
    <x v="0"/>
    <x v="1"/>
    <x v="0"/>
    <x v="0"/>
    <x v="0"/>
    <x v="0"/>
    <x v="0"/>
    <n v="181870.25"/>
  </r>
  <r>
    <s v="P1000944"/>
    <x v="2"/>
    <s v="SPO10015"/>
    <x v="4"/>
    <x v="0"/>
    <s v="Phosphate Hill Replacement Ambulance"/>
    <x v="2"/>
    <n v="135000"/>
    <n v="131272.22"/>
    <n v="70001"/>
    <n v="0"/>
    <n v="131272.22"/>
    <s v="Mark"/>
    <s v="Nash"/>
    <s v="SPZ07"/>
    <d v="2010-04-12T00:00:00"/>
    <x v="17"/>
    <x v="1"/>
    <x v="2"/>
    <x v="0"/>
    <x v="0"/>
    <x v="1"/>
    <x v="0"/>
    <x v="0"/>
    <x v="0"/>
    <x v="0"/>
    <x v="0"/>
    <n v="73810.399999999994"/>
  </r>
  <r>
    <s v="P1000955"/>
    <x v="2"/>
    <s v="SPO10002"/>
    <x v="4"/>
    <x v="0"/>
    <s v="Monument Village Refurbishment (Phosphate Hill)"/>
    <x v="3"/>
    <n v="4900000"/>
    <n v="4178196.53"/>
    <n v="348360.16"/>
    <n v="0"/>
    <n v="4178196.53"/>
    <s v="Mark"/>
    <s v="Nash"/>
    <s v="SPZ02"/>
    <d v="2010-04-12T00:00:00"/>
    <x v="17"/>
    <x v="1"/>
    <x v="8"/>
    <x v="8"/>
    <x v="0"/>
    <x v="1"/>
    <x v="0"/>
    <x v="0"/>
    <x v="0"/>
    <x v="1"/>
    <x v="0"/>
    <n v="633668.01"/>
  </r>
  <r>
    <s v="P1000965"/>
    <x v="1"/>
    <s v="IGO10009"/>
    <x v="3"/>
    <x v="2"/>
    <s v="GIW R601 Cat Tube and Outlet Header Upgrade SD2011"/>
    <x v="7"/>
    <n v="6402390"/>
    <n v="304283.46000000002"/>
    <n v="-586146.96"/>
    <n v="0"/>
    <n v="304283.46000000002"/>
    <s v="David"/>
    <s v="Rowbottom"/>
    <s v="GOA01"/>
    <d v="2010-04-20T00:00:00"/>
    <x v="6"/>
    <x v="1"/>
    <x v="2"/>
    <x v="0"/>
    <x v="0"/>
    <x v="1"/>
    <x v="0"/>
    <x v="0"/>
    <x v="1"/>
    <x v="1"/>
    <x v="0"/>
    <n v="167949.3"/>
  </r>
  <r>
    <s v="P1000977"/>
    <x v="0"/>
    <s v="ISO10003.40"/>
    <x v="0"/>
    <x v="0"/>
    <s v="Fit Loadcell unit to FEL Bucket"/>
    <x v="12"/>
    <n v="7390"/>
    <n v="7390"/>
    <n v="0"/>
    <n v="0"/>
    <n v="7390"/>
    <s v="Roger"/>
    <s v="Heenan"/>
    <s v="FWX04"/>
    <d v="2010-04-30T00:00:00"/>
    <x v="8"/>
    <x v="2"/>
    <x v="2"/>
    <x v="0"/>
    <x v="0"/>
    <x v="1"/>
    <x v="0"/>
    <x v="0"/>
    <x v="0"/>
    <x v="0"/>
    <x v="0"/>
    <n v="0"/>
  </r>
  <r>
    <s v="P1000985"/>
    <x v="5"/>
    <s v="IKI10012"/>
    <x v="5"/>
    <x v="0"/>
    <s v="KI Slat Conveyor Upgrade"/>
    <x v="5"/>
    <n v="194766"/>
    <n v="172265.2"/>
    <n v="163817.20000000001"/>
    <n v="0"/>
    <n v="172265.2"/>
    <s v="Lee"/>
    <s v="Appleby"/>
    <s v="NFD10"/>
    <d v="2010-05-07T00:00:00"/>
    <x v="24"/>
    <x v="3"/>
    <x v="2"/>
    <x v="0"/>
    <x v="0"/>
    <x v="1"/>
    <x v="0"/>
    <x v="0"/>
    <x v="0"/>
    <x v="0"/>
    <x v="0"/>
    <n v="172265.2"/>
  </r>
  <r>
    <s v="P1000986"/>
    <x v="5"/>
    <s v="IKI10011"/>
    <x v="5"/>
    <x v="0"/>
    <s v="KI Replace roof on safety office block"/>
    <x v="5"/>
    <n v="98428"/>
    <n v="59660"/>
    <n v="0"/>
    <n v="0"/>
    <n v="59660"/>
    <s v="Lee"/>
    <s v="Appleby"/>
    <s v="NFD10"/>
    <d v="2010-05-07T00:00:00"/>
    <x v="24"/>
    <x v="3"/>
    <x v="0"/>
    <x v="2"/>
    <x v="0"/>
    <x v="1"/>
    <x v="0"/>
    <x v="0"/>
    <x v="0"/>
    <x v="0"/>
    <x v="0"/>
    <n v="59660"/>
  </r>
  <r>
    <s v="P1000988"/>
    <x v="1"/>
    <s v="IGA10010"/>
    <x v="3"/>
    <x v="2"/>
    <s v="CEP GI Works Replace 24V Power Supplies"/>
    <x v="5"/>
    <n v="89836"/>
    <n v="43687.27"/>
    <n v="5080.87"/>
    <n v="0"/>
    <n v="43687.27"/>
    <s v="Todd"/>
    <s v="Mclennan"/>
    <s v="GOA01"/>
    <d v="2010-05-07T00:00:00"/>
    <x v="6"/>
    <x v="1"/>
    <x v="2"/>
    <x v="0"/>
    <x v="0"/>
    <x v="1"/>
    <x v="0"/>
    <x v="0"/>
    <x v="0"/>
    <x v="0"/>
    <x v="0"/>
    <n v="24657.55"/>
  </r>
  <r>
    <s v="P1000989"/>
    <x v="1"/>
    <s v="IGA10008"/>
    <x v="3"/>
    <x v="2"/>
    <s v="GIW - E608 Methanator Pre-Heater Upgrade"/>
    <x v="3"/>
    <n v="241109"/>
    <n v="33477.5"/>
    <n v="0"/>
    <n v="0"/>
    <n v="33477.5"/>
    <s v="David"/>
    <s v="Rowbottom"/>
    <s v="GOA01"/>
    <d v="2010-05-07T00:00:00"/>
    <x v="6"/>
    <x v="1"/>
    <x v="2"/>
    <x v="0"/>
    <x v="0"/>
    <x v="1"/>
    <x v="0"/>
    <x v="0"/>
    <x v="0"/>
    <x v="0"/>
    <x v="0"/>
    <n v="-55079.5"/>
  </r>
  <r>
    <s v="P1000990"/>
    <x v="1"/>
    <s v="IGA10009"/>
    <x v="3"/>
    <x v="2"/>
    <s v="GIW - E615 Primary Cooler Bundle Upgrade"/>
    <x v="3"/>
    <n v="439361"/>
    <n v="49536"/>
    <n v="0"/>
    <n v="0"/>
    <n v="49536"/>
    <s v="David"/>
    <s v="Rowbottom"/>
    <s v="GOA01"/>
    <d v="2010-05-07T00:00:00"/>
    <x v="6"/>
    <x v="1"/>
    <x v="2"/>
    <x v="0"/>
    <x v="0"/>
    <x v="1"/>
    <x v="0"/>
    <x v="0"/>
    <x v="0"/>
    <x v="0"/>
    <x v="0"/>
    <n v="1620"/>
  </r>
  <r>
    <s v="P1000991"/>
    <x v="1"/>
    <s v="IGA10011"/>
    <x v="3"/>
    <x v="2"/>
    <s v="GIW- C604 Cable replacement 3.3KV"/>
    <x v="3"/>
    <n v="79617"/>
    <n v="12155"/>
    <n v="5780"/>
    <n v="0"/>
    <n v="12155"/>
    <s v="Craig"/>
    <s v="Williscroft"/>
    <s v="GOA01"/>
    <d v="2010-05-07T00:00:00"/>
    <x v="6"/>
    <x v="1"/>
    <x v="2"/>
    <x v="0"/>
    <x v="0"/>
    <x v="1"/>
    <x v="0"/>
    <x v="0"/>
    <x v="0"/>
    <x v="0"/>
    <x v="0"/>
    <n v="10600"/>
  </r>
  <r>
    <s v="P1000994"/>
    <x v="1"/>
    <s v="IGU10004"/>
    <x v="3"/>
    <x v="2"/>
    <s v="CEP Replace 24V Power Supplies - Urea Plant"/>
    <x v="5"/>
    <n v="97628"/>
    <n v="32940.589999999997"/>
    <n v="4573.72"/>
    <n v="0"/>
    <n v="32940.589999999997"/>
    <s v="Todd"/>
    <s v="Mclennan"/>
    <s v="GOU01"/>
    <d v="2010-05-12T00:00:00"/>
    <x v="6"/>
    <x v="1"/>
    <x v="2"/>
    <x v="0"/>
    <x v="0"/>
    <x v="1"/>
    <x v="0"/>
    <x v="0"/>
    <x v="0"/>
    <x v="0"/>
    <x v="0"/>
    <n v="16526.25"/>
  </r>
  <r>
    <s v="P1001002"/>
    <x v="0"/>
    <s v="INO10004.50"/>
    <x v="2"/>
    <x v="0"/>
    <s v="Mackay PDC - Site Signage Upgrade"/>
    <x v="5"/>
    <n v="8924"/>
    <n v="8924"/>
    <n v="0"/>
    <n v="0"/>
    <n v="8924"/>
    <s v="Donna"/>
    <s v="Milton"/>
    <s v="FWM08"/>
    <d v="2010-05-17T00:00:00"/>
    <x v="7"/>
    <x v="1"/>
    <x v="2"/>
    <x v="0"/>
    <x v="0"/>
    <x v="2"/>
    <x v="0"/>
    <x v="0"/>
    <x v="0"/>
    <x v="0"/>
    <x v="0"/>
    <n v="8924"/>
  </r>
  <r>
    <s v="P1001010"/>
    <x v="2"/>
    <s v="SPO10001.190"/>
    <x v="4"/>
    <x v="0"/>
    <s v="Online Tracking Ajustment For Fines Conveyor"/>
    <x v="5"/>
    <n v="49000"/>
    <n v="18531"/>
    <n v="12936"/>
    <n v="0"/>
    <n v="18531"/>
    <s v="Simon"/>
    <s v="Ievers"/>
    <s v="SPG01"/>
    <d v="2010-05-18T00:00:00"/>
    <x v="17"/>
    <x v="1"/>
    <x v="2"/>
    <x v="0"/>
    <x v="0"/>
    <x v="1"/>
    <x v="0"/>
    <x v="0"/>
    <x v="0"/>
    <x v="0"/>
    <x v="0"/>
    <n v="17734"/>
  </r>
  <r>
    <s v="P1001011"/>
    <x v="2"/>
    <s v="SPO10001.210"/>
    <x v="4"/>
    <x v="0"/>
    <s v="VESDA installation"/>
    <x v="5"/>
    <n v="45000"/>
    <n v="54543"/>
    <n v="0"/>
    <n v="0"/>
    <n v="54543"/>
    <s v="Scott"/>
    <s v="Whitehead"/>
    <s v="SPZ07"/>
    <d v="2010-05-18T00:00:00"/>
    <x v="17"/>
    <x v="1"/>
    <x v="2"/>
    <x v="0"/>
    <x v="0"/>
    <x v="1"/>
    <x v="0"/>
    <x v="0"/>
    <x v="0"/>
    <x v="0"/>
    <x v="0"/>
    <n v="0"/>
  </r>
  <r>
    <s v="P1001029"/>
    <x v="2"/>
    <s v="SPO10016"/>
    <x v="4"/>
    <x v="0"/>
    <s v="ICP - OES Elemental Analysis Instrument"/>
    <x v="2"/>
    <n v="120000"/>
    <n v="116790"/>
    <n v="0"/>
    <n v="0"/>
    <n v="116790"/>
    <s v="Susan"/>
    <s v="Lucas"/>
    <s v="SPZ03"/>
    <d v="2010-05-31T00:00:00"/>
    <x v="17"/>
    <x v="1"/>
    <x v="2"/>
    <x v="0"/>
    <x v="0"/>
    <x v="2"/>
    <x v="0"/>
    <x v="0"/>
    <x v="0"/>
    <x v="0"/>
    <x v="0"/>
    <n v="116790"/>
  </r>
  <r>
    <s v="P1001034"/>
    <x v="1"/>
    <s v="IGI10005"/>
    <x v="3"/>
    <x v="6"/>
    <s v="PDC Asset Renewal Phase 2 FY10"/>
    <x v="2"/>
    <n v="564407"/>
    <n v="495987.78"/>
    <n v="321519.40000000002"/>
    <n v="0"/>
    <n v="495987.78"/>
    <s v="Bruce"/>
    <s v="King"/>
    <s v="GD012"/>
    <d v="2010-06-04T00:00:00"/>
    <x v="6"/>
    <x v="1"/>
    <x v="0"/>
    <x v="2"/>
    <x v="0"/>
    <x v="1"/>
    <x v="0"/>
    <x v="0"/>
    <x v="0"/>
    <x v="0"/>
    <x v="0"/>
    <n v="341469.16"/>
  </r>
  <r>
    <s v="P1001035"/>
    <x v="2"/>
    <s v="SPP10013"/>
    <x v="4"/>
    <x v="0"/>
    <s v="Storage Tank 5 Reline and Baffle Upgrade"/>
    <x v="3"/>
    <n v="2800000"/>
    <n v="1527751.35"/>
    <n v="806624.75"/>
    <n v="0"/>
    <n v="1527751.35"/>
    <s v="Mark"/>
    <s v="Nash"/>
    <s v="SPP01"/>
    <d v="2010-06-04T00:00:00"/>
    <x v="17"/>
    <x v="1"/>
    <x v="2"/>
    <x v="0"/>
    <x v="0"/>
    <x v="1"/>
    <x v="0"/>
    <x v="0"/>
    <x v="0"/>
    <x v="1"/>
    <x v="0"/>
    <n v="1466226.3"/>
  </r>
  <r>
    <s v="P1001057"/>
    <x v="4"/>
    <s v="P1001057"/>
    <x v="4"/>
    <x v="0"/>
    <s v="Unknown - PHOS STZ02 SPO10001.230"/>
    <x v="0"/>
    <n v="0"/>
    <n v="11428"/>
    <n v="11428"/>
    <n v="0"/>
    <n v="11428"/>
    <m/>
    <m/>
    <m/>
    <d v="1899-12-30T00:00:00"/>
    <x v="0"/>
    <x v="0"/>
    <x v="0"/>
    <x v="0"/>
    <x v="0"/>
    <x v="0"/>
    <x v="0"/>
    <x v="0"/>
    <x v="0"/>
    <x v="0"/>
    <x v="0"/>
    <n v="11428"/>
  </r>
  <r>
    <s v="P1001058"/>
    <x v="1"/>
    <s v="IGO10001.210"/>
    <x v="3"/>
    <x v="0"/>
    <s v="Alco meters for Pinkenba and Gibson Island"/>
    <x v="5"/>
    <n v="4000"/>
    <n v="3865"/>
    <n v="0"/>
    <n v="0"/>
    <n v="3865"/>
    <s v="Bob"/>
    <s v="Marshall"/>
    <s v="GW001"/>
    <d v="2010-06-15T00:00:00"/>
    <x v="6"/>
    <x v="1"/>
    <x v="2"/>
    <x v="0"/>
    <x v="0"/>
    <x v="1"/>
    <x v="0"/>
    <x v="0"/>
    <x v="0"/>
    <x v="0"/>
    <x v="0"/>
    <n v="0"/>
  </r>
  <r>
    <s v="P1001059"/>
    <x v="2"/>
    <s v="SPO10001.240"/>
    <x v="4"/>
    <x v="0"/>
    <s v="Replacement of Laser Alignment Equipment"/>
    <x v="3"/>
    <n v="34920"/>
    <n v="34920"/>
    <n v="0"/>
    <n v="0"/>
    <n v="34920"/>
    <s v="Andrew"/>
    <s v="Cleverdon"/>
    <s v="SPZ12"/>
    <d v="2010-06-15T00:00:00"/>
    <x v="17"/>
    <x v="1"/>
    <x v="2"/>
    <x v="0"/>
    <x v="0"/>
    <x v="1"/>
    <x v="0"/>
    <x v="0"/>
    <x v="0"/>
    <x v="0"/>
    <x v="0"/>
    <n v="34920"/>
  </r>
  <r>
    <s v="P1001060"/>
    <x v="2"/>
    <s v="SPO10001.220"/>
    <x v="4"/>
    <x v="0"/>
    <s v="Interactive Whiteboard for the Admin Building"/>
    <x v="9"/>
    <n v="5249"/>
    <n v="3249"/>
    <n v="0"/>
    <n v="0"/>
    <n v="3249"/>
    <s v="Brett"/>
    <s v="Landells"/>
    <s v="SPZ13"/>
    <d v="2010-06-17T00:00:00"/>
    <x v="17"/>
    <x v="1"/>
    <x v="2"/>
    <x v="0"/>
    <x v="0"/>
    <x v="1"/>
    <x v="0"/>
    <x v="0"/>
    <x v="0"/>
    <x v="0"/>
    <x v="0"/>
    <n v="3249"/>
  </r>
  <r>
    <s v="P1001063"/>
    <x v="0"/>
    <s v="INO10010"/>
    <x v="2"/>
    <x v="0"/>
    <s v="Install new alternative truck exit from site"/>
    <x v="5"/>
    <n v="32000"/>
    <n v="28726.63"/>
    <n v="28726.63"/>
    <n v="0"/>
    <n v="28726.63"/>
    <s v="Robert"/>
    <s v="Bowden"/>
    <s v="FWT06"/>
    <d v="2010-06-17T00:00:00"/>
    <x v="23"/>
    <x v="1"/>
    <x v="0"/>
    <x v="2"/>
    <x v="0"/>
    <x v="1"/>
    <x v="0"/>
    <x v="0"/>
    <x v="0"/>
    <x v="0"/>
    <x v="0"/>
    <n v="28726.63"/>
  </r>
  <r>
    <s v="P1001064"/>
    <x v="0"/>
    <s v="ISO10008"/>
    <x v="0"/>
    <x v="0"/>
    <s v="Conveyor Guarding Upgrade"/>
    <x v="5"/>
    <n v="40000"/>
    <n v="39951.370000000003"/>
    <n v="29800"/>
    <n v="0"/>
    <n v="39951.370000000003"/>
    <s v="Damian"/>
    <s v="Hollitt"/>
    <s v="FWR04"/>
    <d v="2010-06-17T00:00:00"/>
    <x v="8"/>
    <x v="2"/>
    <x v="2"/>
    <x v="0"/>
    <x v="0"/>
    <x v="1"/>
    <x v="0"/>
    <x v="0"/>
    <x v="0"/>
    <x v="0"/>
    <x v="0"/>
    <n v="32343.16"/>
  </r>
  <r>
    <s v="P1001065"/>
    <x v="0"/>
    <s v="ISO10009"/>
    <x v="0"/>
    <x v="0"/>
    <s v="New Forklift"/>
    <x v="2"/>
    <n v="30300"/>
    <n v="30300"/>
    <n v="30300"/>
    <n v="0"/>
    <n v="30300"/>
    <s v="Jeff"/>
    <s v="Cameron"/>
    <s v="FRS17"/>
    <d v="2010-06-17T00:00:00"/>
    <x v="25"/>
    <x v="4"/>
    <x v="2"/>
    <x v="0"/>
    <x v="0"/>
    <x v="1"/>
    <x v="0"/>
    <x v="0"/>
    <x v="0"/>
    <x v="0"/>
    <x v="0"/>
    <n v="30300"/>
  </r>
  <r>
    <s v="P1001067"/>
    <x v="0"/>
    <s v="INO10011"/>
    <x v="2"/>
    <x v="0"/>
    <s v="Townsville PDC site improvement projects"/>
    <x v="2"/>
    <n v="16357"/>
    <n v="16431.12"/>
    <n v="16431.12"/>
    <n v="0"/>
    <n v="16431.12"/>
    <s v="Robert"/>
    <s v="Bowden"/>
    <s v="FWT06"/>
    <d v="2010-06-17T00:00:00"/>
    <x v="23"/>
    <x v="1"/>
    <x v="2"/>
    <x v="0"/>
    <x v="0"/>
    <x v="1"/>
    <x v="0"/>
    <x v="0"/>
    <x v="0"/>
    <x v="0"/>
    <x v="0"/>
    <n v="16431.12"/>
  </r>
  <r>
    <s v="P1001068"/>
    <x v="0"/>
    <s v="ISO10003.50"/>
    <x v="0"/>
    <x v="0"/>
    <s v="Administration Airconditioner Upgrade"/>
    <x v="5"/>
    <n v="46000"/>
    <n v="29910"/>
    <n v="29300"/>
    <n v="0"/>
    <n v="29910"/>
    <s v="Damian"/>
    <s v="Hollitt"/>
    <s v="FWX06"/>
    <d v="2010-06-17T00:00:00"/>
    <x v="8"/>
    <x v="2"/>
    <x v="2"/>
    <x v="0"/>
    <x v="0"/>
    <x v="1"/>
    <x v="0"/>
    <x v="0"/>
    <x v="0"/>
    <x v="0"/>
    <x v="0"/>
    <n v="29910"/>
  </r>
  <r>
    <s v="P1001069"/>
    <x v="0"/>
    <s v="INO10012"/>
    <x v="2"/>
    <x v="0"/>
    <s v="Townsville Front End Loader High Dump Bucket"/>
    <x v="12"/>
    <n v="40000"/>
    <n v="35192"/>
    <n v="35192"/>
    <n v="0"/>
    <n v="35192"/>
    <s v="Robert"/>
    <s v="Bowden"/>
    <s v="FWT06"/>
    <d v="2010-06-17T00:00:00"/>
    <x v="23"/>
    <x v="1"/>
    <x v="2"/>
    <x v="0"/>
    <x v="0"/>
    <x v="1"/>
    <x v="0"/>
    <x v="0"/>
    <x v="0"/>
    <x v="0"/>
    <x v="0"/>
    <n v="35192"/>
  </r>
  <r>
    <s v="P1001070"/>
    <x v="0"/>
    <s v="INO10004.60"/>
    <x v="2"/>
    <x v="0"/>
    <s v="Townsville High Pressure Water Cleaner"/>
    <x v="2"/>
    <n v="2006"/>
    <n v="1824"/>
    <n v="0"/>
    <n v="0"/>
    <n v="1824"/>
    <s v="Robert"/>
    <s v="Bowden"/>
    <s v="FWT06"/>
    <d v="2010-06-17T00:00:00"/>
    <x v="23"/>
    <x v="1"/>
    <x v="2"/>
    <x v="0"/>
    <x v="0"/>
    <x v="1"/>
    <x v="0"/>
    <x v="0"/>
    <x v="0"/>
    <x v="0"/>
    <x v="0"/>
    <n v="1824"/>
  </r>
  <r>
    <s v="P1001072"/>
    <x v="0"/>
    <s v="IPM10003.20"/>
    <x v="8"/>
    <x v="0"/>
    <s v="Emergency lighting upgrade  Phase 1"/>
    <x v="5"/>
    <n v="39277"/>
    <n v="34204.5"/>
    <n v="34084.5"/>
    <n v="0"/>
    <n v="34204.5"/>
    <s v="Karl"/>
    <s v="Nowakowski"/>
    <s v="PTS01"/>
    <d v="2010-06-18T00:00:00"/>
    <x v="13"/>
    <x v="4"/>
    <x v="2"/>
    <x v="0"/>
    <x v="0"/>
    <x v="1"/>
    <x v="0"/>
    <x v="0"/>
    <x v="0"/>
    <x v="0"/>
    <x v="0"/>
    <n v="34204.5"/>
  </r>
  <r>
    <s v="P1001073"/>
    <x v="2"/>
    <s v="SPB10002"/>
    <x v="4"/>
    <x v="0"/>
    <s v="Beneficiation Storm Water Pond Pump Upgrade"/>
    <x v="5"/>
    <n v="33147"/>
    <n v="19352.97"/>
    <n v="6892.02"/>
    <n v="0"/>
    <n v="19352.97"/>
    <s v="Terry"/>
    <s v="Mccauley"/>
    <s v="SPB01"/>
    <d v="2010-06-18T00:00:00"/>
    <x v="17"/>
    <x v="1"/>
    <x v="2"/>
    <x v="0"/>
    <x v="0"/>
    <x v="1"/>
    <x v="0"/>
    <x v="0"/>
    <x v="0"/>
    <x v="0"/>
    <x v="0"/>
    <n v="14897.97"/>
  </r>
  <r>
    <s v="P1001075"/>
    <x v="5"/>
    <s v="IKI10014"/>
    <x v="5"/>
    <x v="6"/>
    <s v="KI Bagging Plant Refurbishment"/>
    <x v="5"/>
    <n v="498027"/>
    <n v="475167.5"/>
    <n v="358576"/>
    <n v="0"/>
    <n v="475167.5"/>
    <s v="Lee"/>
    <s v="Appleby"/>
    <s v="NFD10"/>
    <d v="2010-06-18T00:00:00"/>
    <x v="24"/>
    <x v="3"/>
    <x v="2"/>
    <x v="0"/>
    <x v="0"/>
    <x v="1"/>
    <x v="0"/>
    <x v="0"/>
    <x v="0"/>
    <x v="0"/>
    <x v="0"/>
    <n v="470567.5"/>
  </r>
  <r>
    <s v="P1001076"/>
    <x v="5"/>
    <s v="IKI10013"/>
    <x v="5"/>
    <x v="0"/>
    <s v="KI Blackscreen Dehumidifier"/>
    <x v="9"/>
    <n v="97517"/>
    <n v="4240"/>
    <n v="0"/>
    <n v="0"/>
    <n v="4240"/>
    <s v="Lee"/>
    <s v="Appleby"/>
    <s v="NFD04"/>
    <d v="2010-06-18T00:00:00"/>
    <x v="24"/>
    <x v="3"/>
    <x v="2"/>
    <x v="0"/>
    <x v="0"/>
    <x v="1"/>
    <x v="0"/>
    <x v="0"/>
    <x v="0"/>
    <x v="0"/>
    <x v="0"/>
    <n v="1680"/>
  </r>
  <r>
    <s v="P1001077"/>
    <x v="1"/>
    <s v="IGO10001.230"/>
    <x v="3"/>
    <x v="0"/>
    <s v="Additional UHF Radio Communication"/>
    <x v="5"/>
    <n v="50236"/>
    <n v="44690"/>
    <n v="39728"/>
    <n v="0"/>
    <n v="44690"/>
    <s v="Troy"/>
    <s v="Knox"/>
    <s v="GW001"/>
    <d v="2010-06-18T00:00:00"/>
    <x v="6"/>
    <x v="1"/>
    <x v="2"/>
    <x v="0"/>
    <x v="0"/>
    <x v="1"/>
    <x v="0"/>
    <x v="0"/>
    <x v="0"/>
    <x v="0"/>
    <x v="0"/>
    <n v="44690"/>
  </r>
  <r>
    <s v="P1001079"/>
    <x v="2"/>
    <s v="SPO10009"/>
    <x v="4"/>
    <x v="0"/>
    <s v="Machine Guarding Action Items"/>
    <x v="5"/>
    <n v="110000"/>
    <n v="42969.18"/>
    <n v="1091.23"/>
    <n v="0"/>
    <n v="42969.18"/>
    <s v="Stephen"/>
    <s v="Miller"/>
    <s v="SPZ13"/>
    <d v="2010-06-18T00:00:00"/>
    <x v="17"/>
    <x v="1"/>
    <x v="2"/>
    <x v="0"/>
    <x v="0"/>
    <x v="1"/>
    <x v="0"/>
    <x v="0"/>
    <x v="0"/>
    <x v="0"/>
    <x v="0"/>
    <n v="37459.18"/>
  </r>
  <r>
    <s v="P1001080"/>
    <x v="2"/>
    <s v="SPO10017"/>
    <x v="4"/>
    <x v="0"/>
    <s v="11kV Protection Upgrade"/>
    <x v="3"/>
    <n v="100332"/>
    <n v="2775"/>
    <n v="-24105"/>
    <n v="0"/>
    <n v="2775"/>
    <s v="Terry"/>
    <s v="Mccauley"/>
    <s v="SPU02"/>
    <d v="2010-06-18T00:00:00"/>
    <x v="17"/>
    <x v="1"/>
    <x v="2"/>
    <x v="0"/>
    <x v="0"/>
    <x v="1"/>
    <x v="0"/>
    <x v="0"/>
    <x v="0"/>
    <x v="0"/>
    <x v="0"/>
    <n v="2445"/>
  </r>
  <r>
    <s v="P1001082"/>
    <x v="0"/>
    <s v="IGP10002"/>
    <x v="6"/>
    <x v="0"/>
    <s v="GE0135 Lara 2 Ranco Line 2 Screen"/>
    <x v="4"/>
    <n v="94190"/>
    <n v="73636.25"/>
    <n v="100"/>
    <n v="0"/>
    <n v="73636.25"/>
    <s v="Steve"/>
    <s v="Agiejew"/>
    <s v="FWL04"/>
    <d v="2010-06-18T00:00:00"/>
    <x v="22"/>
    <x v="4"/>
    <x v="2"/>
    <x v="0"/>
    <x v="0"/>
    <x v="1"/>
    <x v="0"/>
    <x v="0"/>
    <x v="0"/>
    <x v="0"/>
    <x v="0"/>
    <n v="71086.25"/>
  </r>
  <r>
    <s v="P1001083"/>
    <x v="2"/>
    <s v="SPO10018"/>
    <x v="4"/>
    <x v="0"/>
    <s v="Buyout of shutdown offices"/>
    <x v="3"/>
    <n v="140000"/>
    <n v="140000"/>
    <n v="0"/>
    <n v="0"/>
    <n v="140000"/>
    <s v="Mark"/>
    <s v="Nash"/>
    <s v="SPZ08"/>
    <d v="2010-06-18T00:00:00"/>
    <x v="17"/>
    <x v="1"/>
    <x v="0"/>
    <x v="2"/>
    <x v="0"/>
    <x v="1"/>
    <x v="0"/>
    <x v="0"/>
    <x v="0"/>
    <x v="0"/>
    <x v="0"/>
    <n v="0"/>
  </r>
  <r>
    <s v="P1001084"/>
    <x v="1"/>
    <s v="IGA10013"/>
    <x v="3"/>
    <x v="2"/>
    <s v="CEP NH3 AMC controls relocation"/>
    <x v="5"/>
    <n v="143051"/>
    <n v="11232.5"/>
    <n v="6692.5"/>
    <n v="0"/>
    <n v="11232.5"/>
    <s v="Kieran"/>
    <s v="Mcshane"/>
    <s v="GOA01"/>
    <d v="2010-06-18T00:00:00"/>
    <x v="6"/>
    <x v="1"/>
    <x v="2"/>
    <x v="0"/>
    <x v="0"/>
    <x v="1"/>
    <x v="0"/>
    <x v="0"/>
    <x v="0"/>
    <x v="0"/>
    <x v="0"/>
    <n v="11232.5"/>
  </r>
  <r>
    <s v="P1001085"/>
    <x v="0"/>
    <s v="IPM10014"/>
    <x v="8"/>
    <x v="0"/>
    <s v="Additives Plant Storm Water Improvements"/>
    <x v="5"/>
    <n v="304000"/>
    <n v="308604.68"/>
    <n v="223209.45"/>
    <n v="0"/>
    <n v="308604.68"/>
    <s v="Karl"/>
    <s v="Nowakowski"/>
    <s v="PTS01"/>
    <d v="2010-06-18T00:00:00"/>
    <x v="13"/>
    <x v="4"/>
    <x v="2"/>
    <x v="0"/>
    <x v="0"/>
    <x v="1"/>
    <x v="0"/>
    <x v="0"/>
    <x v="0"/>
    <x v="0"/>
    <x v="0"/>
    <n v="308604.68"/>
  </r>
  <r>
    <s v="P1001090"/>
    <x v="1"/>
    <s v="IGO10001.240"/>
    <x v="3"/>
    <x v="0"/>
    <s v="Tee and Acid Area Enclosure Stage 2"/>
    <x v="5"/>
    <n v="36850"/>
    <n v="22672.55"/>
    <n v="10162.42"/>
    <n v="0"/>
    <n v="22672.55"/>
    <s v="Stephen"/>
    <s v="Moon"/>
    <s v="GOG06"/>
    <d v="2010-06-21T00:00:00"/>
    <x v="6"/>
    <x v="1"/>
    <x v="2"/>
    <x v="0"/>
    <x v="0"/>
    <x v="1"/>
    <x v="0"/>
    <x v="0"/>
    <x v="0"/>
    <x v="0"/>
    <x v="0"/>
    <n v="22672.55"/>
  </r>
  <r>
    <s v="P1001091"/>
    <x v="6"/>
    <s v="P1001091"/>
    <x v="3"/>
    <x v="0"/>
    <s v="Unknown - Gibs IPI10003"/>
    <x v="0"/>
    <n v="0"/>
    <n v="68642.98"/>
    <n v="68538.14"/>
    <n v="0"/>
    <n v="68642.98"/>
    <m/>
    <m/>
    <m/>
    <d v="1899-12-30T00:00:00"/>
    <x v="0"/>
    <x v="0"/>
    <x v="0"/>
    <x v="0"/>
    <x v="0"/>
    <x v="0"/>
    <x v="0"/>
    <x v="0"/>
    <x v="0"/>
    <x v="0"/>
    <x v="0"/>
    <n v="68642.98"/>
  </r>
  <r>
    <s v="P1001093"/>
    <x v="0"/>
    <s v="IPM10003.30"/>
    <x v="8"/>
    <x v="0"/>
    <s v="High Voltage Motor Isolator upgrade"/>
    <x v="5"/>
    <n v="14566"/>
    <n v="13554.1"/>
    <n v="13554.1"/>
    <n v="0"/>
    <n v="13554.1"/>
    <s v="Karl"/>
    <s v="Nowakowski"/>
    <s v="PTS01"/>
    <d v="2010-06-23T00:00:00"/>
    <x v="13"/>
    <x v="4"/>
    <x v="2"/>
    <x v="0"/>
    <x v="0"/>
    <x v="1"/>
    <x v="0"/>
    <x v="0"/>
    <x v="0"/>
    <x v="0"/>
    <x v="0"/>
    <n v="13554.1"/>
  </r>
  <r>
    <s v="P1001110"/>
    <x v="4"/>
    <s v="IFI10011"/>
    <x v="9"/>
    <x v="7"/>
    <s v="Incitec Pivot Customer Service Scripting Project"/>
    <x v="10"/>
    <n v="40000"/>
    <n v="39898"/>
    <n v="0"/>
    <n v="0"/>
    <n v="39898"/>
    <s v="Ranbir"/>
    <s v="Baath"/>
    <s v="ZI004"/>
    <d v="2010-06-28T00:00:00"/>
    <x v="12"/>
    <x v="4"/>
    <x v="2"/>
    <x v="0"/>
    <x v="0"/>
    <x v="1"/>
    <x v="0"/>
    <x v="0"/>
    <x v="0"/>
    <x v="0"/>
    <x v="0"/>
    <n v="0"/>
  </r>
  <r>
    <s v="P1001119"/>
    <x v="1"/>
    <s v="IGU10005"/>
    <x v="3"/>
    <x v="2"/>
    <s v="CEP Urea AMC Controls Relocation"/>
    <x v="5"/>
    <n v="107698"/>
    <n v="13194.67"/>
    <n v="3773.72"/>
    <n v="0"/>
    <n v="13194.67"/>
    <s v="Kieran"/>
    <s v="Mcshane"/>
    <s v="GOU01"/>
    <d v="2010-07-01T00:00:00"/>
    <x v="6"/>
    <x v="1"/>
    <x v="2"/>
    <x v="0"/>
    <x v="0"/>
    <x v="1"/>
    <x v="0"/>
    <x v="0"/>
    <x v="0"/>
    <x v="0"/>
    <x v="0"/>
    <n v="13194.67"/>
  </r>
  <r>
    <s v="P1001122"/>
    <x v="1"/>
    <s v="IGO10001.250"/>
    <x v="3"/>
    <x v="0"/>
    <s v="Purchase of 5 new Trellborg Gas Proof Suits"/>
    <x v="5"/>
    <n v="42289"/>
    <n v="38445"/>
    <n v="0"/>
    <n v="0"/>
    <n v="38445"/>
    <s v="Bob"/>
    <s v="Marshall"/>
    <s v="GW001"/>
    <d v="2010-07-02T00:00:00"/>
    <x v="6"/>
    <x v="1"/>
    <x v="2"/>
    <x v="0"/>
    <x v="0"/>
    <x v="2"/>
    <x v="0"/>
    <x v="0"/>
    <x v="0"/>
    <x v="0"/>
    <x v="0"/>
    <n v="38445"/>
  </r>
  <r>
    <s v="P1001124"/>
    <x v="0"/>
    <s v="IPM10003.50"/>
    <x v="8"/>
    <x v="0"/>
    <s v="Stage 3  RCD Installation"/>
    <x v="5"/>
    <n v="30085"/>
    <n v="27542.799999999999"/>
    <n v="27542.799999999999"/>
    <n v="0"/>
    <n v="27542.799999999999"/>
    <s v="Karl"/>
    <s v="Nowakowski"/>
    <s v="PTS01"/>
    <d v="2010-07-05T00:00:00"/>
    <x v="13"/>
    <x v="4"/>
    <x v="2"/>
    <x v="0"/>
    <x v="0"/>
    <x v="1"/>
    <x v="0"/>
    <x v="0"/>
    <x v="0"/>
    <x v="0"/>
    <x v="0"/>
    <n v="27542.799999999999"/>
  </r>
  <r>
    <s v="P1001126"/>
    <x v="0"/>
    <s v="IGE10017"/>
    <x v="6"/>
    <x v="0"/>
    <s v="Upgrade coarse outlet chute from gyrotor cone"/>
    <x v="12"/>
    <n v="49000"/>
    <n v="25602"/>
    <n v="8492"/>
    <n v="0"/>
    <n v="25602"/>
    <s v="Karl"/>
    <s v="Nowakowski"/>
    <s v="GES01"/>
    <d v="2010-07-05T00:00:00"/>
    <x v="11"/>
    <x v="4"/>
    <x v="2"/>
    <x v="0"/>
    <x v="0"/>
    <x v="1"/>
    <x v="0"/>
    <x v="0"/>
    <x v="0"/>
    <x v="0"/>
    <x v="0"/>
    <n v="25602"/>
  </r>
  <r>
    <s v="P1001131"/>
    <x v="2"/>
    <s v="SPP10015"/>
    <x v="4"/>
    <x v="0"/>
    <s v="Presanction for Reactor 1C and 1A Floor Upgrade"/>
    <x v="3"/>
    <n v="640000"/>
    <n v="29640"/>
    <n v="6840"/>
    <n v="0"/>
    <n v="29640"/>
    <s v="Mark"/>
    <s v="Nash"/>
    <s v="SPP01"/>
    <d v="2010-07-05T00:00:00"/>
    <x v="17"/>
    <x v="1"/>
    <x v="2"/>
    <x v="0"/>
    <x v="0"/>
    <x v="1"/>
    <x v="0"/>
    <x v="0"/>
    <x v="0"/>
    <x v="0"/>
    <x v="0"/>
    <n v="29640"/>
  </r>
  <r>
    <s v="P1001133"/>
    <x v="0"/>
    <s v="IGE10018"/>
    <x v="6"/>
    <x v="0"/>
    <s v="GEMC10-007 Belt splicing platform extension"/>
    <x v="5"/>
    <n v="52256"/>
    <n v="42231.5"/>
    <n v="23581"/>
    <n v="0"/>
    <n v="42231.5"/>
    <s v="Stephen"/>
    <s v="Mcdonald"/>
    <s v="GES01"/>
    <d v="2010-07-05T00:00:00"/>
    <x v="11"/>
    <x v="4"/>
    <x v="2"/>
    <x v="0"/>
    <x v="0"/>
    <x v="1"/>
    <x v="0"/>
    <x v="0"/>
    <x v="0"/>
    <x v="0"/>
    <x v="0"/>
    <n v="42231.5"/>
  </r>
  <r>
    <s v="P1001134"/>
    <x v="0"/>
    <s v="IGE10023"/>
    <x v="6"/>
    <x v="0"/>
    <s v="GE0144 - Drier Building Cyclone Impact Cleaners"/>
    <x v="12"/>
    <n v="178602"/>
    <n v="83824.34"/>
    <n v="45568.14"/>
    <n v="0"/>
    <n v="83824.34"/>
    <s v="Raffaele"/>
    <s v="D'agostino"/>
    <s v="GES01"/>
    <d v="2010-07-05T00:00:00"/>
    <x v="11"/>
    <x v="4"/>
    <x v="2"/>
    <x v="0"/>
    <x v="0"/>
    <x v="1"/>
    <x v="0"/>
    <x v="0"/>
    <x v="0"/>
    <x v="0"/>
    <x v="0"/>
    <n v="83824.34"/>
  </r>
  <r>
    <s v="P1001135"/>
    <x v="0"/>
    <s v="IGE10028"/>
    <x v="6"/>
    <x v="0"/>
    <s v="GEMC10-005 New maint platform &amp; stairs"/>
    <x v="5"/>
    <n v="133376"/>
    <n v="99858.96"/>
    <n v="12365"/>
    <n v="0"/>
    <n v="99858.96"/>
    <s v="Stephen"/>
    <s v="Mcdonald"/>
    <s v="GES01"/>
    <d v="2010-07-05T00:00:00"/>
    <x v="11"/>
    <x v="4"/>
    <x v="2"/>
    <x v="0"/>
    <x v="0"/>
    <x v="1"/>
    <x v="0"/>
    <x v="0"/>
    <x v="0"/>
    <x v="0"/>
    <x v="0"/>
    <n v="99858.96"/>
  </r>
  <r>
    <s v="P1001136"/>
    <x v="0"/>
    <s v="IGE10026"/>
    <x v="6"/>
    <x v="0"/>
    <s v="GEMC10-008 Upgrade conveyor guarding"/>
    <x v="5"/>
    <n v="168013"/>
    <n v="142080"/>
    <n v="102300"/>
    <n v="0"/>
    <n v="142080"/>
    <s v="Stephen"/>
    <s v="Mcdonald"/>
    <s v="GES01"/>
    <d v="2010-07-05T00:00:00"/>
    <x v="11"/>
    <x v="4"/>
    <x v="2"/>
    <x v="0"/>
    <x v="0"/>
    <x v="1"/>
    <x v="0"/>
    <x v="0"/>
    <x v="0"/>
    <x v="0"/>
    <x v="0"/>
    <n v="142080"/>
  </r>
  <r>
    <s v="P1001137"/>
    <x v="0"/>
    <s v="IGE10019"/>
    <x v="6"/>
    <x v="0"/>
    <s v="GE0149 Upgrade Conveyor Guarding"/>
    <x v="5"/>
    <n v="209128"/>
    <n v="177992"/>
    <n v="140448"/>
    <n v="0"/>
    <n v="177992"/>
    <s v="Stephen"/>
    <s v="Mcdonald"/>
    <s v="GES01"/>
    <d v="2010-07-05T00:00:00"/>
    <x v="11"/>
    <x v="4"/>
    <x v="2"/>
    <x v="0"/>
    <x v="0"/>
    <x v="1"/>
    <x v="0"/>
    <x v="0"/>
    <x v="0"/>
    <x v="0"/>
    <x v="0"/>
    <n v="177992"/>
  </r>
  <r>
    <s v="P1001138"/>
    <x v="0"/>
    <s v="IGE10024"/>
    <x v="6"/>
    <x v="0"/>
    <s v="GE0143 New scrapers  brushes  skirts &amp; drive"/>
    <x v="5"/>
    <n v="194374"/>
    <n v="259404.31"/>
    <n v="138612.62"/>
    <n v="0"/>
    <n v="259404.31"/>
    <s v="Stephen"/>
    <s v="Mcdonald"/>
    <s v="GES01"/>
    <d v="2010-07-05T00:00:00"/>
    <x v="11"/>
    <x v="4"/>
    <x v="2"/>
    <x v="0"/>
    <x v="0"/>
    <x v="1"/>
    <x v="0"/>
    <x v="0"/>
    <x v="0"/>
    <x v="0"/>
    <x v="0"/>
    <n v="259404.31"/>
  </r>
  <r>
    <s v="P1001139"/>
    <x v="0"/>
    <s v="IGE10027"/>
    <x v="6"/>
    <x v="0"/>
    <s v="GEMC10-004 New scrapers  skirts &amp; drive upgrades"/>
    <x v="5"/>
    <n v="155630"/>
    <n v="119410.73"/>
    <n v="64514.73"/>
    <n v="0"/>
    <n v="119410.73"/>
    <s v="Stephen"/>
    <s v="Mcdonald"/>
    <s v="GES01"/>
    <d v="2010-07-05T00:00:00"/>
    <x v="11"/>
    <x v="4"/>
    <x v="2"/>
    <x v="0"/>
    <x v="0"/>
    <x v="1"/>
    <x v="0"/>
    <x v="0"/>
    <x v="0"/>
    <x v="0"/>
    <x v="0"/>
    <n v="119410.73"/>
  </r>
  <r>
    <s v="P1001140"/>
    <x v="0"/>
    <s v="IGE10034"/>
    <x v="6"/>
    <x v="0"/>
    <s v="GE0145 Ball Mill Electric Ear"/>
    <x v="12"/>
    <n v="75801"/>
    <n v="52622.95"/>
    <n v="28127.05"/>
    <n v="0"/>
    <n v="52622.95"/>
    <s v="Paul"/>
    <s v="Farrell"/>
    <s v="GES01"/>
    <d v="2010-07-05T00:00:00"/>
    <x v="11"/>
    <x v="4"/>
    <x v="2"/>
    <x v="0"/>
    <x v="0"/>
    <x v="1"/>
    <x v="0"/>
    <x v="0"/>
    <x v="0"/>
    <x v="0"/>
    <x v="0"/>
    <n v="52622.95"/>
  </r>
  <r>
    <s v="P1001141"/>
    <x v="0"/>
    <s v="IGE10020"/>
    <x v="6"/>
    <x v="0"/>
    <s v="GE0148 - Drier Control Room Refurbishment"/>
    <x v="5"/>
    <n v="78815"/>
    <n v="60325.53"/>
    <n v="42737.37"/>
    <n v="0"/>
    <n v="60325.53"/>
    <s v="Raffaele"/>
    <s v="D'agostino"/>
    <s v="GES01"/>
    <d v="2010-07-05T00:00:00"/>
    <x v="11"/>
    <x v="4"/>
    <x v="2"/>
    <x v="0"/>
    <x v="0"/>
    <x v="1"/>
    <x v="0"/>
    <x v="0"/>
    <x v="0"/>
    <x v="0"/>
    <x v="0"/>
    <n v="60325.53"/>
  </r>
  <r>
    <s v="P1001142"/>
    <x v="0"/>
    <s v="IGE10025"/>
    <x v="6"/>
    <x v="0"/>
    <s v="GEMC10-017 - No.2\3 Rock Riser Conv Belt Cleaners"/>
    <x v="5"/>
    <n v="155364"/>
    <n v="90733.03"/>
    <n v="65583.03"/>
    <n v="0"/>
    <n v="90733.03"/>
    <s v="Raffaele"/>
    <s v="D'agostino"/>
    <s v="GES01"/>
    <d v="2010-07-05T00:00:00"/>
    <x v="11"/>
    <x v="4"/>
    <x v="2"/>
    <x v="0"/>
    <x v="0"/>
    <x v="1"/>
    <x v="0"/>
    <x v="0"/>
    <x v="0"/>
    <x v="0"/>
    <x v="0"/>
    <n v="90733.03"/>
  </r>
  <r>
    <s v="P1001143"/>
    <x v="0"/>
    <s v="IGE10031"/>
    <x v="6"/>
    <x v="0"/>
    <s v="GE0146 New Diverter above Oversize Screens"/>
    <x v="5"/>
    <n v="420897"/>
    <n v="238659.49"/>
    <n v="138600.85999999999"/>
    <n v="0"/>
    <n v="238659.49"/>
    <s v="Peter"/>
    <s v="Williams"/>
    <s v="GES01"/>
    <d v="2010-07-05T00:00:00"/>
    <x v="11"/>
    <x v="4"/>
    <x v="2"/>
    <x v="0"/>
    <x v="0"/>
    <x v="1"/>
    <x v="0"/>
    <x v="0"/>
    <x v="0"/>
    <x v="0"/>
    <x v="0"/>
    <n v="238659.49"/>
  </r>
  <r>
    <s v="P1001144"/>
    <x v="0"/>
    <s v="IGE10035"/>
    <x v="6"/>
    <x v="0"/>
    <s v="GEMC10-021 New Self-cleaning Magnet"/>
    <x v="5"/>
    <n v="141809"/>
    <n v="83595.08"/>
    <n v="46246.63"/>
    <n v="0"/>
    <n v="83595.08"/>
    <s v="Peter"/>
    <s v="Williams"/>
    <s v="GES01"/>
    <d v="2010-07-05T00:00:00"/>
    <x v="11"/>
    <x v="4"/>
    <x v="2"/>
    <x v="0"/>
    <x v="0"/>
    <x v="1"/>
    <x v="0"/>
    <x v="0"/>
    <x v="0"/>
    <x v="0"/>
    <x v="0"/>
    <n v="83595.08"/>
  </r>
  <r>
    <s v="P1001145"/>
    <x v="0"/>
    <s v="IGE10021"/>
    <x v="6"/>
    <x v="0"/>
    <s v="GEMC10-022 Upgrade Hygiene Duct Flushing System"/>
    <x v="5"/>
    <n v="83367"/>
    <n v="71604.5"/>
    <n v="19936.5"/>
    <n v="0"/>
    <n v="71604.5"/>
    <s v="Peter"/>
    <s v="Williams"/>
    <s v="GES01"/>
    <d v="2010-07-05T00:00:00"/>
    <x v="11"/>
    <x v="4"/>
    <x v="2"/>
    <x v="0"/>
    <x v="0"/>
    <x v="1"/>
    <x v="0"/>
    <x v="0"/>
    <x v="0"/>
    <x v="0"/>
    <x v="0"/>
    <n v="71604.5"/>
  </r>
  <r>
    <s v="P1001146"/>
    <x v="0"/>
    <s v="IGE10029"/>
    <x v="6"/>
    <x v="0"/>
    <s v="GEMC10-026 Cooler Outlet Grizzly Modification"/>
    <x v="5"/>
    <n v="99644"/>
    <n v="61574.49"/>
    <n v="45769.49"/>
    <n v="0"/>
    <n v="61574.49"/>
    <s v="Raffaele"/>
    <s v="D'agostino"/>
    <s v="GES01"/>
    <d v="2010-07-05T00:00:00"/>
    <x v="11"/>
    <x v="4"/>
    <x v="2"/>
    <x v="0"/>
    <x v="0"/>
    <x v="1"/>
    <x v="0"/>
    <x v="0"/>
    <x v="0"/>
    <x v="0"/>
    <x v="0"/>
    <n v="61574.49"/>
  </r>
  <r>
    <s v="P1001147"/>
    <x v="0"/>
    <s v="IGE10032"/>
    <x v="6"/>
    <x v="0"/>
    <s v="GEMC10-024 Upgrade Raw Super Conveyors No's 1 to 5"/>
    <x v="5"/>
    <n v="198852"/>
    <n v="173506.27"/>
    <n v="105649.27"/>
    <n v="0"/>
    <n v="173506.27"/>
    <s v="Peter"/>
    <s v="Williams"/>
    <s v="GES01"/>
    <d v="2010-07-05T00:00:00"/>
    <x v="11"/>
    <x v="4"/>
    <x v="2"/>
    <x v="0"/>
    <x v="0"/>
    <x v="1"/>
    <x v="0"/>
    <x v="0"/>
    <x v="0"/>
    <x v="0"/>
    <x v="0"/>
    <n v="173506.27"/>
  </r>
  <r>
    <s v="P1001148"/>
    <x v="0"/>
    <s v="IGE10036"/>
    <x v="6"/>
    <x v="0"/>
    <s v="GEMC10-023 Automatic Slide Gates Rocktunnel No 1"/>
    <x v="5"/>
    <n v="149446"/>
    <n v="95277.5"/>
    <n v="70857"/>
    <n v="0"/>
    <n v="95277.5"/>
    <s v="Peter"/>
    <s v="Williams"/>
    <s v="GES01"/>
    <d v="2010-07-05T00:00:00"/>
    <x v="11"/>
    <x v="4"/>
    <x v="2"/>
    <x v="0"/>
    <x v="0"/>
    <x v="1"/>
    <x v="0"/>
    <x v="0"/>
    <x v="0"/>
    <x v="0"/>
    <x v="0"/>
    <n v="95277.5"/>
  </r>
  <r>
    <s v="P1001149"/>
    <x v="0"/>
    <s v="IGE10022"/>
    <x v="6"/>
    <x v="0"/>
    <s v="GEMC10-025 Upgrade Headrum Spillage Chute  Dens"/>
    <x v="5"/>
    <n v="89565"/>
    <n v="77602.8"/>
    <n v="42597.8"/>
    <n v="0"/>
    <n v="77602.8"/>
    <s v="Peter"/>
    <s v="Williams"/>
    <s v="GES01"/>
    <d v="2010-07-05T00:00:00"/>
    <x v="11"/>
    <x v="4"/>
    <x v="2"/>
    <x v="0"/>
    <x v="0"/>
    <x v="1"/>
    <x v="0"/>
    <x v="0"/>
    <x v="0"/>
    <x v="0"/>
    <x v="0"/>
    <n v="77602.8"/>
  </r>
  <r>
    <s v="P1001150"/>
    <x v="0"/>
    <s v="IGE10030"/>
    <x v="6"/>
    <x v="0"/>
    <s v="Upgrade product chute to air slide from gyrotor"/>
    <x v="12"/>
    <n v="56000"/>
    <n v="38435"/>
    <n v="20372"/>
    <n v="0"/>
    <n v="38435"/>
    <s v="Karl"/>
    <s v="Nowakowski"/>
    <s v="GES01"/>
    <d v="2010-07-05T00:00:00"/>
    <x v="11"/>
    <x v="4"/>
    <x v="2"/>
    <x v="0"/>
    <x v="0"/>
    <x v="1"/>
    <x v="0"/>
    <x v="0"/>
    <x v="0"/>
    <x v="0"/>
    <x v="0"/>
    <n v="38435"/>
  </r>
  <r>
    <s v="P1001151"/>
    <x v="0"/>
    <s v="IGE10033"/>
    <x v="6"/>
    <x v="0"/>
    <s v="Modify clamshells &amp; automate-Rock Tunnel 3 Feeder"/>
    <x v="5"/>
    <n v="109165"/>
    <n v="87644.31"/>
    <n v="48130.31"/>
    <n v="0"/>
    <n v="87644.31"/>
    <s v="Karl"/>
    <s v="Nowakowski"/>
    <s v="GES01"/>
    <d v="2010-07-05T00:00:00"/>
    <x v="11"/>
    <x v="4"/>
    <x v="2"/>
    <x v="0"/>
    <x v="0"/>
    <x v="1"/>
    <x v="0"/>
    <x v="0"/>
    <x v="0"/>
    <x v="0"/>
    <x v="0"/>
    <n v="87644.31"/>
  </r>
  <r>
    <s v="P1001152"/>
    <x v="0"/>
    <s v="IGE10016"/>
    <x v="6"/>
    <x v="0"/>
    <s v="GE0107 Drier Plant Recycle Gates"/>
    <x v="3"/>
    <n v="387716"/>
    <n v="285630"/>
    <n v="240540.5"/>
    <n v="0"/>
    <n v="285630"/>
    <s v="Steve"/>
    <s v="Agiejew"/>
    <s v="GES03"/>
    <d v="2010-07-05T00:00:00"/>
    <x v="11"/>
    <x v="4"/>
    <x v="2"/>
    <x v="0"/>
    <x v="0"/>
    <x v="1"/>
    <x v="0"/>
    <x v="0"/>
    <x v="0"/>
    <x v="0"/>
    <x v="0"/>
    <n v="285630"/>
  </r>
  <r>
    <s v="P1001153"/>
    <x v="0"/>
    <s v="IGE10015"/>
    <x v="6"/>
    <x v="0"/>
    <s v="GEMC10-019 Fines Screen Outlet Cones/False Floors"/>
    <x v="3"/>
    <n v="74210"/>
    <n v="48212"/>
    <n v="38397"/>
    <n v="0"/>
    <n v="48212"/>
    <s v="Steve"/>
    <s v="Agiejew"/>
    <s v="GES03"/>
    <d v="2010-07-05T00:00:00"/>
    <x v="11"/>
    <x v="4"/>
    <x v="2"/>
    <x v="0"/>
    <x v="0"/>
    <x v="1"/>
    <x v="0"/>
    <x v="0"/>
    <x v="0"/>
    <x v="0"/>
    <x v="0"/>
    <n v="48212"/>
  </r>
  <r>
    <s v="P1001155"/>
    <x v="1"/>
    <s v="IGU10006"/>
    <x v="3"/>
    <x v="2"/>
    <s v="GIW - Urea DB24A replacement"/>
    <x v="5"/>
    <n v="85680"/>
    <n v="26980"/>
    <n v="8053"/>
    <n v="0"/>
    <n v="26980"/>
    <s v="Craig"/>
    <s v="Williscroft"/>
    <s v="GOU01"/>
    <d v="2010-07-06T00:00:00"/>
    <x v="6"/>
    <x v="1"/>
    <x v="2"/>
    <x v="0"/>
    <x v="0"/>
    <x v="1"/>
    <x v="0"/>
    <x v="0"/>
    <x v="0"/>
    <x v="0"/>
    <x v="0"/>
    <n v="26980"/>
  </r>
  <r>
    <s v="P1001156"/>
    <x v="1"/>
    <s v="IGA10015"/>
    <x v="3"/>
    <x v="2"/>
    <s v="CEP GI Works Upgrade NH3 Plant UPS"/>
    <x v="5"/>
    <n v="108490"/>
    <n v="15392.17"/>
    <n v="3393.72"/>
    <n v="0"/>
    <n v="15392.17"/>
    <s v="David"/>
    <s v="Harney"/>
    <s v="GOA01"/>
    <d v="2010-07-06T00:00:00"/>
    <x v="6"/>
    <x v="1"/>
    <x v="2"/>
    <x v="0"/>
    <x v="0"/>
    <x v="1"/>
    <x v="0"/>
    <x v="0"/>
    <x v="0"/>
    <x v="0"/>
    <x v="0"/>
    <n v="15392.17"/>
  </r>
  <r>
    <s v="P1001157"/>
    <x v="1"/>
    <s v="IGG10002"/>
    <x v="3"/>
    <x v="0"/>
    <s v="Granulation Plant Cable Trays Upgrade"/>
    <x v="5"/>
    <n v="151360"/>
    <n v="152919.06"/>
    <n v="88719.01"/>
    <n v="0"/>
    <n v="152919.06"/>
    <s v="Stephen"/>
    <s v="Moon"/>
    <s v="GOG06"/>
    <d v="2010-07-06T00:00:00"/>
    <x v="6"/>
    <x v="1"/>
    <x v="2"/>
    <x v="0"/>
    <x v="0"/>
    <x v="1"/>
    <x v="0"/>
    <x v="0"/>
    <x v="0"/>
    <x v="0"/>
    <x v="0"/>
    <n v="152919.06"/>
  </r>
  <r>
    <s v="P1001158"/>
    <x v="1"/>
    <s v="IGO10012"/>
    <x v="3"/>
    <x v="0"/>
    <s v="Lake Travis Waste Water Treatment"/>
    <x v="12"/>
    <n v="86486"/>
    <n v="47301.01"/>
    <n v="34203.589999999997"/>
    <n v="0"/>
    <n v="47301.01"/>
    <s v="Peter"/>
    <s v="Vollert"/>
    <s v="GW001"/>
    <d v="2010-07-06T00:00:00"/>
    <x v="6"/>
    <x v="1"/>
    <x v="2"/>
    <x v="0"/>
    <x v="0"/>
    <x v="1"/>
    <x v="0"/>
    <x v="0"/>
    <x v="0"/>
    <x v="0"/>
    <x v="0"/>
    <n v="47301.01"/>
  </r>
  <r>
    <s v="P1001160"/>
    <x v="1"/>
    <s v="IGA10016"/>
    <x v="3"/>
    <x v="2"/>
    <s v="GIW - E623A/B heat Exchanger Upgrade"/>
    <x v="3"/>
    <n v="100010"/>
    <n v="11776.5"/>
    <n v="4720.5"/>
    <n v="0"/>
    <n v="11776.5"/>
    <s v="David"/>
    <s v="Rowbottom"/>
    <s v="GOA01"/>
    <d v="2010-07-06T00:00:00"/>
    <x v="6"/>
    <x v="1"/>
    <x v="2"/>
    <x v="0"/>
    <x v="0"/>
    <x v="1"/>
    <x v="0"/>
    <x v="0"/>
    <x v="0"/>
    <x v="0"/>
    <x v="0"/>
    <n v="11776.5"/>
  </r>
  <r>
    <s v="P1001161"/>
    <x v="0"/>
    <s v="IGE10041"/>
    <x v="6"/>
    <x v="0"/>
    <s v="Upgrade Suspension Cable Turnbuckles"/>
    <x v="12"/>
    <n v="61501"/>
    <n v="15746"/>
    <n v="2040"/>
    <n v="0"/>
    <n v="15746"/>
    <s v="Ankur"/>
    <s v="Barua"/>
    <s v="GEO3"/>
    <d v="2010-07-06T00:00:00"/>
    <x v="11"/>
    <x v="4"/>
    <x v="2"/>
    <x v="0"/>
    <x v="0"/>
    <x v="1"/>
    <x v="0"/>
    <x v="0"/>
    <x v="0"/>
    <x v="0"/>
    <x v="0"/>
    <n v="15746"/>
  </r>
  <r>
    <s v="P1001162"/>
    <x v="0"/>
    <s v="IGE10037"/>
    <x v="6"/>
    <x v="0"/>
    <s v="SG Measurement for Dens Scrubber"/>
    <x v="12"/>
    <n v="107862"/>
    <n v="44427"/>
    <n v="29958.25"/>
    <n v="0"/>
    <n v="44427"/>
    <s v="Ankur"/>
    <s v="Barua"/>
    <s v="GEO3"/>
    <d v="2010-07-06T00:00:00"/>
    <x v="11"/>
    <x v="4"/>
    <x v="2"/>
    <x v="0"/>
    <x v="0"/>
    <x v="1"/>
    <x v="0"/>
    <x v="0"/>
    <x v="0"/>
    <x v="0"/>
    <x v="0"/>
    <n v="44427"/>
  </r>
  <r>
    <s v="P1001167"/>
    <x v="0"/>
    <s v="IGE10040"/>
    <x v="6"/>
    <x v="0"/>
    <s v="GE0142 Granulation Building Wall Cladding - S3"/>
    <x v="5"/>
    <n v="952595"/>
    <n v="549645.43000000005"/>
    <n v="235436.81"/>
    <n v="0"/>
    <n v="549645.43000000005"/>
    <s v="Raffaele"/>
    <s v="D'agostino"/>
    <s v="GES01"/>
    <d v="2010-07-07T00:00:00"/>
    <x v="11"/>
    <x v="4"/>
    <x v="0"/>
    <x v="2"/>
    <x v="0"/>
    <x v="1"/>
    <x v="0"/>
    <x v="0"/>
    <x v="0"/>
    <x v="0"/>
    <x v="0"/>
    <n v="549645.43000000005"/>
  </r>
  <r>
    <s v="P1001168"/>
    <x v="0"/>
    <s v="IGE10039"/>
    <x v="6"/>
    <x v="0"/>
    <s v="GE0138 Liquids Storage  Blending And Despatch"/>
    <x v="8"/>
    <n v="589653"/>
    <n v="333787.42"/>
    <n v="147429.92000000001"/>
    <n v="0"/>
    <n v="333787.42"/>
    <s v="Bill"/>
    <s v="Dickers"/>
    <s v="GE03"/>
    <d v="2010-07-07T00:00:00"/>
    <x v="11"/>
    <x v="4"/>
    <x v="2"/>
    <x v="0"/>
    <x v="0"/>
    <x v="1"/>
    <x v="0"/>
    <x v="0"/>
    <x v="1"/>
    <x v="0"/>
    <x v="0"/>
    <n v="333787.42"/>
  </r>
  <r>
    <s v="P1001174"/>
    <x v="0"/>
    <s v="INO10017"/>
    <x v="2"/>
    <x v="0"/>
    <s v="Townsville PDC - Build new workshop"/>
    <x v="2"/>
    <n v="48195"/>
    <n v="27923.93"/>
    <n v="27923.93"/>
    <n v="0"/>
    <n v="27923.93"/>
    <s v="David"/>
    <s v="Collins"/>
    <s v="FWT01"/>
    <d v="2010-07-12T00:00:00"/>
    <x v="7"/>
    <x v="1"/>
    <x v="0"/>
    <x v="2"/>
    <x v="0"/>
    <x v="1"/>
    <x v="0"/>
    <x v="0"/>
    <x v="0"/>
    <x v="0"/>
    <x v="0"/>
    <n v="27923.93"/>
  </r>
  <r>
    <s v="P1001177"/>
    <x v="0"/>
    <s v="ICM10002"/>
    <x v="10"/>
    <x v="0"/>
    <s v="Customer Service Make Good"/>
    <x v="3"/>
    <n v="124500"/>
    <n v="210266.12"/>
    <n v="109220.8"/>
    <n v="0"/>
    <n v="210266.12"/>
    <s v="Richard"/>
    <s v="Ibbott"/>
    <s v="FRD05"/>
    <d v="2010-07-12T00:00:00"/>
    <x v="15"/>
    <x v="1"/>
    <x v="0"/>
    <x v="2"/>
    <x v="0"/>
    <x v="1"/>
    <x v="0"/>
    <x v="0"/>
    <x v="0"/>
    <x v="0"/>
    <x v="0"/>
    <n v="210266.12"/>
  </r>
  <r>
    <s v="P1001183"/>
    <x v="2"/>
    <s v="SPO10001.270"/>
    <x v="4"/>
    <x v="0"/>
    <s v="Mobile Foam Fire Fighting Unit (AF120 MK2)"/>
    <x v="5"/>
    <n v="6000"/>
    <n v="5932"/>
    <n v="5932"/>
    <n v="0"/>
    <n v="5932"/>
    <s v="Kobus"/>
    <s v="Kirsten"/>
    <s v="SPA01"/>
    <d v="2010-07-16T00:00:00"/>
    <x v="17"/>
    <x v="1"/>
    <x v="2"/>
    <x v="0"/>
    <x v="0"/>
    <x v="1"/>
    <x v="0"/>
    <x v="0"/>
    <x v="0"/>
    <x v="0"/>
    <x v="0"/>
    <n v="5932"/>
  </r>
  <r>
    <s v="P1001184"/>
    <x v="0"/>
    <s v="IGE10044"/>
    <x v="6"/>
    <x v="0"/>
    <s v="GE0137 - No.3 Rock Shed Leakage"/>
    <x v="5"/>
    <n v="180813"/>
    <n v="113943.63"/>
    <n v="56278.63"/>
    <n v="0"/>
    <n v="113943.63"/>
    <s v="Raffaele"/>
    <s v="D'agostino"/>
    <s v="GES01"/>
    <d v="2010-07-19T00:00:00"/>
    <x v="11"/>
    <x v="4"/>
    <x v="2"/>
    <x v="0"/>
    <x v="0"/>
    <x v="1"/>
    <x v="0"/>
    <x v="0"/>
    <x v="0"/>
    <x v="0"/>
    <x v="0"/>
    <n v="113943.63"/>
  </r>
  <r>
    <s v="P1001185"/>
    <x v="0"/>
    <s v="IGE10042"/>
    <x v="6"/>
    <x v="0"/>
    <s v="GE0089 Dryer PLC Upgrade"/>
    <x v="3"/>
    <n v="259843"/>
    <n v="48071"/>
    <n v="3600"/>
    <n v="0"/>
    <n v="48071"/>
    <s v="Paul"/>
    <s v="Farrell"/>
    <s v="GES01"/>
    <d v="2010-07-19T00:00:00"/>
    <x v="11"/>
    <x v="4"/>
    <x v="2"/>
    <x v="0"/>
    <x v="0"/>
    <x v="1"/>
    <x v="0"/>
    <x v="0"/>
    <x v="0"/>
    <x v="0"/>
    <x v="0"/>
    <n v="48071"/>
  </r>
  <r>
    <s v="P1001186"/>
    <x v="0"/>
    <s v="IGE10043"/>
    <x v="6"/>
    <x v="0"/>
    <s v="GEMC10-006 O/S Screens Outlets and False Floor"/>
    <x v="3"/>
    <n v="251579"/>
    <n v="65544"/>
    <n v="55029"/>
    <n v="0"/>
    <n v="65544"/>
    <s v="Steve"/>
    <s v="Agiejew"/>
    <s v="GES03"/>
    <d v="2010-07-19T00:00:00"/>
    <x v="11"/>
    <x v="4"/>
    <x v="2"/>
    <x v="0"/>
    <x v="0"/>
    <x v="1"/>
    <x v="0"/>
    <x v="0"/>
    <x v="0"/>
    <x v="0"/>
    <x v="0"/>
    <n v="65544"/>
  </r>
  <r>
    <s v="P1001187"/>
    <x v="1"/>
    <s v="IGA10017"/>
    <x v="3"/>
    <x v="2"/>
    <s v="GIW - R612 Isolation Valve Upgrade IP-GI-09-0111"/>
    <x v="5"/>
    <n v="96803"/>
    <n v="12170"/>
    <n v="1965"/>
    <n v="0"/>
    <n v="12170"/>
    <s v="Todd"/>
    <s v="Mclennan"/>
    <s v="GOA01"/>
    <d v="2010-07-19T00:00:00"/>
    <x v="6"/>
    <x v="1"/>
    <x v="2"/>
    <x v="0"/>
    <x v="0"/>
    <x v="1"/>
    <x v="0"/>
    <x v="0"/>
    <x v="0"/>
    <x v="0"/>
    <x v="0"/>
    <n v="12170"/>
  </r>
  <r>
    <s v="P1001192"/>
    <x v="2"/>
    <s v="SPO10001.310"/>
    <x v="4"/>
    <x v="0"/>
    <s v="Phosphate Hill W/house DG Pallett Rack"/>
    <x v="5"/>
    <n v="49832"/>
    <n v="47960.15"/>
    <n v="47960.15"/>
    <n v="0"/>
    <n v="47960.15"/>
    <s v="David"/>
    <s v="Zeller"/>
    <s v="SPZ06"/>
    <d v="2010-07-21T00:00:00"/>
    <x v="17"/>
    <x v="1"/>
    <x v="2"/>
    <x v="0"/>
    <x v="0"/>
    <x v="1"/>
    <x v="0"/>
    <x v="0"/>
    <x v="0"/>
    <x v="0"/>
    <x v="0"/>
    <n v="47960.15"/>
  </r>
  <r>
    <s v="P1001193"/>
    <x v="2"/>
    <s v="SPO10001.30"/>
    <x v="4"/>
    <x v="0"/>
    <s v="Phos Hill LVW Tool Kit."/>
    <x v="2"/>
    <n v="5750"/>
    <n v="5750"/>
    <n v="5750"/>
    <n v="0"/>
    <n v="5750"/>
    <s v="David"/>
    <s v="Zeller"/>
    <s v="SPZ20"/>
    <d v="2010-07-21T00:00:00"/>
    <x v="17"/>
    <x v="1"/>
    <x v="2"/>
    <x v="0"/>
    <x v="0"/>
    <x v="1"/>
    <x v="0"/>
    <x v="0"/>
    <x v="0"/>
    <x v="0"/>
    <x v="0"/>
    <n v="5750"/>
  </r>
  <r>
    <s v="P1001194"/>
    <x v="4"/>
    <s v="P1001194"/>
    <x v="4"/>
    <x v="0"/>
    <s v="Unknown - PHOS STZ03 SPO10001.280"/>
    <x v="0"/>
    <n v="0"/>
    <n v="26784.639999999999"/>
    <n v="25360"/>
    <n v="0"/>
    <n v="26784.639999999999"/>
    <m/>
    <m/>
    <m/>
    <d v="1899-12-30T00:00:00"/>
    <x v="0"/>
    <x v="0"/>
    <x v="0"/>
    <x v="0"/>
    <x v="0"/>
    <x v="0"/>
    <x v="0"/>
    <x v="0"/>
    <x v="0"/>
    <x v="0"/>
    <x v="0"/>
    <n v="26784.639999999999"/>
  </r>
  <r>
    <s v="P1001195"/>
    <x v="2"/>
    <s v="SPO10001.290"/>
    <x v="4"/>
    <x v="0"/>
    <s v="Storage Containers - Phosphate Hill"/>
    <x v="2"/>
    <n v="25000"/>
    <n v="20000"/>
    <n v="20000"/>
    <n v="0"/>
    <n v="20000"/>
    <s v="David"/>
    <s v="Zeller"/>
    <s v="SPZ06"/>
    <d v="2010-07-21T00:00:00"/>
    <x v="17"/>
    <x v="1"/>
    <x v="2"/>
    <x v="0"/>
    <x v="0"/>
    <x v="1"/>
    <x v="0"/>
    <x v="0"/>
    <x v="0"/>
    <x v="0"/>
    <x v="0"/>
    <n v="20000"/>
  </r>
  <r>
    <s v="P1001204"/>
    <x v="2"/>
    <s v="SPP10016"/>
    <x v="4"/>
    <x v="0"/>
    <s v="PTFE lined vacuum hose for 3 remaining HH filters"/>
    <x v="13"/>
    <n v="120000"/>
    <n v="118085"/>
    <n v="0"/>
    <n v="0"/>
    <n v="118085"/>
    <s v="Lodewyk"/>
    <s v="Merwe"/>
    <s v="SPP01"/>
    <d v="2010-07-26T00:00:00"/>
    <x v="17"/>
    <x v="1"/>
    <x v="2"/>
    <x v="0"/>
    <x v="0"/>
    <x v="1"/>
    <x v="0"/>
    <x v="0"/>
    <x v="0"/>
    <x v="0"/>
    <x v="0"/>
    <n v="118085"/>
  </r>
  <r>
    <s v="P1001234"/>
    <x v="0"/>
    <s v="ICM10003"/>
    <x v="10"/>
    <x v="7"/>
    <s v="NAA Safari Project"/>
    <x v="10"/>
    <n v="312440"/>
    <n v="129108.23"/>
    <n v="129108.23"/>
    <n v="0"/>
    <n v="129108.23"/>
    <s v="Charlie"/>
    <s v="Walker"/>
    <s v="FMT11"/>
    <d v="2010-08-02T00:00:00"/>
    <x v="26"/>
    <x v="4"/>
    <x v="2"/>
    <x v="0"/>
    <x v="0"/>
    <x v="1"/>
    <x v="0"/>
    <x v="0"/>
    <x v="0"/>
    <x v="0"/>
    <x v="0"/>
    <n v="129108.23"/>
  </r>
  <r>
    <s v="P1001236"/>
    <x v="1"/>
    <s v="IGO10001.270"/>
    <x v="3"/>
    <x v="0"/>
    <s v="New Trim in SB601 Level Control Valve LCV636"/>
    <x v="3"/>
    <n v="9500"/>
    <n v="9117.11"/>
    <n v="0"/>
    <n v="0"/>
    <n v="9117.11"/>
    <s v="Stephen"/>
    <s v="Maule"/>
    <s v="GOA01"/>
    <d v="2010-08-03T00:00:00"/>
    <x v="6"/>
    <x v="1"/>
    <x v="2"/>
    <x v="0"/>
    <x v="0"/>
    <x v="2"/>
    <x v="0"/>
    <x v="0"/>
    <x v="0"/>
    <x v="0"/>
    <x v="0"/>
    <n v="9117.11"/>
  </r>
  <r>
    <s v="P1001238"/>
    <x v="1"/>
    <s v="IGG10003"/>
    <x v="3"/>
    <x v="6"/>
    <s v="Granulation Plant Asset Renewal FY10"/>
    <x v="3"/>
    <n v="408482"/>
    <n v="262036.73"/>
    <n v="262036.73"/>
    <n v="0"/>
    <n v="262036.73"/>
    <s v="Zim"/>
    <s v="Solo"/>
    <s v="GOG06"/>
    <d v="2010-08-04T00:00:00"/>
    <x v="6"/>
    <x v="1"/>
    <x v="0"/>
    <x v="2"/>
    <x v="0"/>
    <x v="1"/>
    <x v="0"/>
    <x v="0"/>
    <x v="0"/>
    <x v="0"/>
    <x v="0"/>
    <n v="262036.73"/>
  </r>
  <r>
    <s v="P1001239"/>
    <x v="1"/>
    <s v="IGA10018"/>
    <x v="3"/>
    <x v="2"/>
    <s v="GI SD Works Nat Gas Remote Isolation"/>
    <x v="5"/>
    <n v="350576"/>
    <n v="52696.65"/>
    <n v="5587.5"/>
    <n v="0"/>
    <n v="52696.65"/>
    <s v="Phillip"/>
    <s v="Clarke"/>
    <s v="GOA01"/>
    <d v="2010-08-04T00:00:00"/>
    <x v="6"/>
    <x v="1"/>
    <x v="2"/>
    <x v="0"/>
    <x v="0"/>
    <x v="1"/>
    <x v="0"/>
    <x v="0"/>
    <x v="0"/>
    <x v="0"/>
    <x v="0"/>
    <n v="52696.65"/>
  </r>
  <r>
    <s v="P1001240"/>
    <x v="1"/>
    <s v="IGA10022"/>
    <x v="3"/>
    <x v="2"/>
    <s v="GI Works C604 240V trips"/>
    <x v="5"/>
    <n v="173387"/>
    <n v="42089"/>
    <n v="4280"/>
    <n v="0"/>
    <n v="42089"/>
    <s v="Phillip"/>
    <s v="Clarke"/>
    <s v="GOA01"/>
    <d v="2010-08-04T00:00:00"/>
    <x v="6"/>
    <x v="1"/>
    <x v="2"/>
    <x v="0"/>
    <x v="0"/>
    <x v="1"/>
    <x v="0"/>
    <x v="0"/>
    <x v="0"/>
    <x v="0"/>
    <x v="0"/>
    <n v="42089"/>
  </r>
  <r>
    <s v="P1001242"/>
    <x v="1"/>
    <s v="IGA10019"/>
    <x v="3"/>
    <x v="2"/>
    <s v="GI Works C601 Transfer to Triconex"/>
    <x v="5"/>
    <n v="275997"/>
    <n v="73170.03"/>
    <n v="3035"/>
    <n v="0"/>
    <n v="73170.03"/>
    <s v="Phillip"/>
    <s v="Clarke"/>
    <s v="GOA01"/>
    <d v="2010-08-04T00:00:00"/>
    <x v="6"/>
    <x v="1"/>
    <x v="2"/>
    <x v="0"/>
    <x v="0"/>
    <x v="1"/>
    <x v="0"/>
    <x v="0"/>
    <x v="0"/>
    <x v="0"/>
    <x v="0"/>
    <n v="73170.03"/>
  </r>
  <r>
    <s v="P1001243"/>
    <x v="1"/>
    <s v="IGO10001.280"/>
    <x v="3"/>
    <x v="0"/>
    <s v="Cooling Tower Southern Stairs Upgrade"/>
    <x v="5"/>
    <n v="62226"/>
    <n v="67658.33"/>
    <n v="12006.75"/>
    <n v="0"/>
    <n v="67658.33"/>
    <s v="Khe"/>
    <s v="Tan"/>
    <s v="GOA01"/>
    <d v="2010-08-04T00:00:00"/>
    <x v="6"/>
    <x v="1"/>
    <x v="2"/>
    <x v="0"/>
    <x v="0"/>
    <x v="1"/>
    <x v="0"/>
    <x v="0"/>
    <x v="0"/>
    <x v="0"/>
    <x v="0"/>
    <n v="67658.33"/>
  </r>
  <r>
    <s v="P1001244"/>
    <x v="1"/>
    <s v="IGU10010"/>
    <x v="3"/>
    <x v="2"/>
    <s v="R701 Tell Tale Access Platforms"/>
    <x v="5"/>
    <n v="145538"/>
    <n v="29448"/>
    <n v="29448"/>
    <n v="0"/>
    <n v="29448"/>
    <s v="Khe"/>
    <s v="Tan"/>
    <s v="GOU01"/>
    <d v="2010-08-04T00:00:00"/>
    <x v="6"/>
    <x v="1"/>
    <x v="2"/>
    <x v="0"/>
    <x v="0"/>
    <x v="1"/>
    <x v="0"/>
    <x v="0"/>
    <x v="0"/>
    <x v="0"/>
    <x v="0"/>
    <n v="29448"/>
  </r>
  <r>
    <s v="P1001245"/>
    <x v="1"/>
    <s v="IGA10021"/>
    <x v="3"/>
    <x v="0"/>
    <s v="Building 127 Roof Replacement"/>
    <x v="2"/>
    <n v="198295"/>
    <n v="169562.53"/>
    <n v="167762.53"/>
    <n v="0"/>
    <n v="169562.53"/>
    <s v="Peter"/>
    <s v="Vollert"/>
    <s v="GOA01"/>
    <d v="2010-08-04T00:00:00"/>
    <x v="6"/>
    <x v="1"/>
    <x v="9"/>
    <x v="9"/>
    <x v="0"/>
    <x v="1"/>
    <x v="0"/>
    <x v="0"/>
    <x v="0"/>
    <x v="0"/>
    <x v="0"/>
    <n v="169562.53"/>
  </r>
  <r>
    <s v="P1001246"/>
    <x v="1"/>
    <s v="IGU10009"/>
    <x v="3"/>
    <x v="2"/>
    <s v="D706 Modifications"/>
    <x v="3"/>
    <n v="335119"/>
    <n v="59956.39"/>
    <n v="12090.38"/>
    <n v="0"/>
    <n v="59956.39"/>
    <s v="Khe"/>
    <s v="Tan"/>
    <s v="GOU01"/>
    <d v="2010-08-04T00:00:00"/>
    <x v="6"/>
    <x v="1"/>
    <x v="2"/>
    <x v="0"/>
    <x v="0"/>
    <x v="1"/>
    <x v="0"/>
    <x v="0"/>
    <x v="0"/>
    <x v="0"/>
    <x v="0"/>
    <n v="59956.39"/>
  </r>
  <r>
    <s v="P1001247"/>
    <x v="1"/>
    <s v="IGA10023"/>
    <x v="3"/>
    <x v="2"/>
    <s v="GIW - RACV Upgrade"/>
    <x v="5"/>
    <n v="99539"/>
    <n v="32889.5"/>
    <n v="7280"/>
    <n v="0"/>
    <n v="32889.5"/>
    <s v="Brad"/>
    <s v="Love"/>
    <s v="GOA01"/>
    <d v="2010-08-04T00:00:00"/>
    <x v="6"/>
    <x v="1"/>
    <x v="2"/>
    <x v="0"/>
    <x v="0"/>
    <x v="1"/>
    <x v="0"/>
    <x v="0"/>
    <x v="0"/>
    <x v="0"/>
    <x v="0"/>
    <n v="32889.5"/>
  </r>
  <r>
    <s v="P1001248"/>
    <x v="0"/>
    <s v="IGE10045"/>
    <x v="6"/>
    <x v="0"/>
    <s v="GE0136 Geelong Weighbridge Extension"/>
    <x v="3"/>
    <n v="174009"/>
    <n v="11220"/>
    <n v="640"/>
    <n v="0"/>
    <n v="11220"/>
    <s v="Raffaele"/>
    <s v="D'agostino"/>
    <s v="GES01"/>
    <d v="2010-08-04T00:00:00"/>
    <x v="22"/>
    <x v="4"/>
    <x v="2"/>
    <x v="0"/>
    <x v="0"/>
    <x v="1"/>
    <x v="0"/>
    <x v="0"/>
    <x v="0"/>
    <x v="0"/>
    <x v="0"/>
    <n v="11220"/>
  </r>
  <r>
    <s v="P1001250"/>
    <x v="1"/>
    <s v="IGA10026"/>
    <x v="3"/>
    <x v="2"/>
    <s v="GIW # Upgrade UV6552 Process Air Valve to R602"/>
    <x v="2"/>
    <n v="103073"/>
    <n v="4790"/>
    <n v="4790"/>
    <n v="0"/>
    <n v="4790"/>
    <s v="David"/>
    <s v="Rowbottom"/>
    <s v="GOA01"/>
    <d v="2010-08-04T00:00:00"/>
    <x v="6"/>
    <x v="1"/>
    <x v="2"/>
    <x v="0"/>
    <x v="0"/>
    <x v="1"/>
    <x v="0"/>
    <x v="0"/>
    <x v="0"/>
    <x v="0"/>
    <x v="0"/>
    <n v="4790"/>
  </r>
  <r>
    <s v="P1001251"/>
    <x v="1"/>
    <s v="IGO10001.290"/>
    <x v="3"/>
    <x v="0"/>
    <s v="T210 Replace Rubber Lining with FRP"/>
    <x v="2"/>
    <n v="33510"/>
    <n v="33509.86"/>
    <n v="0"/>
    <n v="0"/>
    <n v="33509.86"/>
    <s v="Stephen"/>
    <s v="Moon"/>
    <s v="GOG06"/>
    <d v="2010-08-05T00:00:00"/>
    <x v="6"/>
    <x v="1"/>
    <x v="2"/>
    <x v="0"/>
    <x v="0"/>
    <x v="2"/>
    <x v="0"/>
    <x v="0"/>
    <x v="0"/>
    <x v="0"/>
    <x v="0"/>
    <n v="33509.86"/>
  </r>
  <r>
    <s v="P1001252"/>
    <x v="1"/>
    <s v="IGO10001.300"/>
    <x v="3"/>
    <x v="0"/>
    <s v="Granulation Plant 8 Slurry Pipe Upgrade"/>
    <x v="2"/>
    <n v="11904"/>
    <n v="11903.8"/>
    <n v="0"/>
    <n v="0"/>
    <n v="11903.8"/>
    <s v="Stephen"/>
    <s v="Moon"/>
    <s v="GOG06"/>
    <d v="2010-08-05T00:00:00"/>
    <x v="6"/>
    <x v="1"/>
    <x v="2"/>
    <x v="0"/>
    <x v="0"/>
    <x v="2"/>
    <x v="0"/>
    <x v="0"/>
    <x v="0"/>
    <x v="0"/>
    <x v="0"/>
    <n v="11903.8"/>
  </r>
  <r>
    <s v="P1001253"/>
    <x v="1"/>
    <s v="IGA10020"/>
    <x v="3"/>
    <x v="2"/>
    <s v="GI SD R601 Reformer Burner management"/>
    <x v="5"/>
    <n v="2338378"/>
    <n v="407112.97"/>
    <n v="295920.46999999997"/>
    <n v="0"/>
    <n v="407112.97"/>
    <s v="John"/>
    <s v="Mccullough"/>
    <s v="GOA01"/>
    <d v="2010-08-05T00:00:00"/>
    <x v="6"/>
    <x v="1"/>
    <x v="0"/>
    <x v="0"/>
    <x v="2"/>
    <x v="1"/>
    <x v="0"/>
    <x v="0"/>
    <x v="0"/>
    <x v="1"/>
    <x v="0"/>
    <n v="407112.97"/>
  </r>
  <r>
    <s v="P1001254"/>
    <x v="1"/>
    <s v="IGU10011"/>
    <x v="3"/>
    <x v="2"/>
    <s v="R701 Modify Basket"/>
    <x v="4"/>
    <n v="263965"/>
    <n v="30247.5"/>
    <n v="30247.5"/>
    <n v="0"/>
    <n v="30247.5"/>
    <s v="Craig"/>
    <s v="Ross"/>
    <s v="GOU01"/>
    <d v="2010-08-05T00:00:00"/>
    <x v="6"/>
    <x v="1"/>
    <x v="2"/>
    <x v="0"/>
    <x v="0"/>
    <x v="1"/>
    <x v="0"/>
    <x v="0"/>
    <x v="0"/>
    <x v="0"/>
    <x v="0"/>
    <n v="30247.5"/>
  </r>
  <r>
    <s v="P1001255"/>
    <x v="1"/>
    <s v="IGA10024"/>
    <x v="3"/>
    <x v="2"/>
    <s v="GIW - R605 Temperature Overrun Mitigation"/>
    <x v="5"/>
    <n v="403405"/>
    <n v="87196"/>
    <n v="7670"/>
    <n v="0"/>
    <n v="87196"/>
    <s v="Brad"/>
    <s v="Love"/>
    <s v="GOA01"/>
    <d v="2010-08-05T00:00:00"/>
    <x v="6"/>
    <x v="1"/>
    <x v="2"/>
    <x v="0"/>
    <x v="0"/>
    <x v="1"/>
    <x v="0"/>
    <x v="0"/>
    <x v="0"/>
    <x v="0"/>
    <x v="0"/>
    <n v="87196"/>
  </r>
  <r>
    <s v="P1001256"/>
    <x v="4"/>
    <s v="IFI10013"/>
    <x v="7"/>
    <x v="7"/>
    <s v="ESS Licences for North America rollout"/>
    <x v="10"/>
    <n v="185000"/>
    <n v="201958.33"/>
    <n v="201958.33"/>
    <n v="0"/>
    <n v="201958.33"/>
    <s v="Nick"/>
    <s v="Lake"/>
    <s v="ZP002"/>
    <d v="2010-08-06T00:00:00"/>
    <x v="27"/>
    <x v="4"/>
    <x v="2"/>
    <x v="0"/>
    <x v="0"/>
    <x v="1"/>
    <x v="0"/>
    <x v="0"/>
    <x v="0"/>
    <x v="0"/>
    <x v="0"/>
    <n v="201958.33"/>
  </r>
  <r>
    <s v="P1001257"/>
    <x v="2"/>
    <s v="SPO10021"/>
    <x v="4"/>
    <x v="0"/>
    <s v="Phos Hill DCS - OPC Replacement"/>
    <x v="2"/>
    <n v="105000"/>
    <n v="35578.910000000003"/>
    <n v="35578.910000000003"/>
    <n v="0"/>
    <n v="35578.910000000003"/>
    <s v="Grant"/>
    <s v="Godkin"/>
    <s v="SPE01"/>
    <d v="2010-08-06T00:00:00"/>
    <x v="17"/>
    <x v="1"/>
    <x v="2"/>
    <x v="0"/>
    <x v="0"/>
    <x v="1"/>
    <x v="0"/>
    <x v="0"/>
    <x v="0"/>
    <x v="0"/>
    <x v="0"/>
    <n v="35578.910000000003"/>
  </r>
  <r>
    <s v="P1001260"/>
    <x v="0"/>
    <s v="IPM10015"/>
    <x v="8"/>
    <x v="0"/>
    <s v="Void Tower Two Replacement"/>
    <x v="2"/>
    <n v="432000"/>
    <n v="59303.83"/>
    <n v="929"/>
    <n v="0"/>
    <n v="59303.83"/>
    <s v="Karl"/>
    <s v="Nowakowski"/>
    <s v="PTS01"/>
    <d v="2010-08-12T00:00:00"/>
    <x v="13"/>
    <x v="4"/>
    <x v="2"/>
    <x v="0"/>
    <x v="0"/>
    <x v="1"/>
    <x v="0"/>
    <x v="0"/>
    <x v="0"/>
    <x v="0"/>
    <x v="0"/>
    <n v="59303.83"/>
  </r>
  <r>
    <s v="P1001261"/>
    <x v="1"/>
    <s v="IGA10025"/>
    <x v="3"/>
    <x v="2"/>
    <s v="GIW- Shutdown Power distribution system"/>
    <x v="12"/>
    <n v="589176"/>
    <n v="79717.490000000005"/>
    <n v="29799.99"/>
    <n v="0"/>
    <n v="79717.490000000005"/>
    <s v="Craig"/>
    <s v="Williscroft"/>
    <s v="GOA-0"/>
    <d v="2010-08-12T00:00:00"/>
    <x v="6"/>
    <x v="1"/>
    <x v="2"/>
    <x v="0"/>
    <x v="0"/>
    <x v="1"/>
    <x v="0"/>
    <x v="0"/>
    <x v="0"/>
    <x v="0"/>
    <x v="0"/>
    <n v="79717.490000000005"/>
  </r>
  <r>
    <s v="P1001264"/>
    <x v="1"/>
    <s v="IGA10007"/>
    <x v="3"/>
    <x v="2"/>
    <s v="GI Works NH3 Substation Replacement"/>
    <x v="5"/>
    <n v="3517482"/>
    <n v="305731.20000000001"/>
    <n v="53100.7"/>
    <n v="0"/>
    <n v="305731.20000000001"/>
    <s v="John"/>
    <s v="Mccullough"/>
    <s v="GOA01"/>
    <d v="2010-08-16T00:00:00"/>
    <x v="6"/>
    <x v="1"/>
    <x v="2"/>
    <x v="0"/>
    <x v="0"/>
    <x v="1"/>
    <x v="0"/>
    <x v="0"/>
    <x v="0"/>
    <x v="1"/>
    <x v="0"/>
    <n v="305731.20000000001"/>
  </r>
  <r>
    <s v="P1001270"/>
    <x v="2"/>
    <s v="SPP10006"/>
    <x v="4"/>
    <x v="0"/>
    <s v="Concrete Southern Side of Workshop"/>
    <x v="5"/>
    <n v="72000"/>
    <n v="71376.5"/>
    <n v="57929"/>
    <n v="0"/>
    <n v="71376.5"/>
    <s v="Paul"/>
    <s v="West"/>
    <s v="SPZ06"/>
    <d v="2010-08-17T00:00:00"/>
    <x v="17"/>
    <x v="1"/>
    <x v="2"/>
    <x v="0"/>
    <x v="0"/>
    <x v="1"/>
    <x v="0"/>
    <x v="0"/>
    <x v="0"/>
    <x v="0"/>
    <x v="0"/>
    <n v="71376.5"/>
  </r>
  <r>
    <s v="P1001271"/>
    <x v="2"/>
    <s v="SPO10023"/>
    <x v="4"/>
    <x v="0"/>
    <s v="Phos Hill DCS - ICS Replacement"/>
    <x v="2"/>
    <n v="260000"/>
    <n v="164640"/>
    <n v="164640"/>
    <n v="0"/>
    <n v="164640"/>
    <s v="Grant"/>
    <s v="Godkin"/>
    <s v="SPE01"/>
    <d v="2010-08-17T00:00:00"/>
    <x v="17"/>
    <x v="1"/>
    <x v="2"/>
    <x v="0"/>
    <x v="0"/>
    <x v="1"/>
    <x v="0"/>
    <x v="0"/>
    <x v="0"/>
    <x v="0"/>
    <x v="0"/>
    <n v="164640"/>
  </r>
  <r>
    <s v="P1001303"/>
    <x v="4"/>
    <s v="IFI10009"/>
    <x v="9"/>
    <x v="7"/>
    <s v="Hyperion Consolidation Tool"/>
    <x v="10"/>
    <n v="680000"/>
    <n v="556132.04"/>
    <n v="153388.04"/>
    <n v="0"/>
    <n v="556132.04"/>
    <s v="Chris"/>
    <s v="Opperman"/>
    <s v="ZA001"/>
    <d v="2010-08-24T00:00:00"/>
    <x v="28"/>
    <x v="4"/>
    <x v="2"/>
    <x v="0"/>
    <x v="0"/>
    <x v="1"/>
    <x v="0"/>
    <x v="0"/>
    <x v="0"/>
    <x v="0"/>
    <x v="0"/>
    <n v="556132.04"/>
  </r>
  <r>
    <s v="P1001304"/>
    <x v="3"/>
    <s v="SPO10001.340"/>
    <x v="4"/>
    <x v="0"/>
    <s v="Construction of Training Conference Room"/>
    <x v="3"/>
    <n v="19700"/>
    <n v="19700"/>
    <n v="19700"/>
    <n v="0"/>
    <n v="19700"/>
    <s v="Garry"/>
    <s v="Huggon"/>
    <s v="SMS01"/>
    <d v="2010-08-25T00:00:00"/>
    <x v="4"/>
    <x v="1"/>
    <x v="2"/>
    <x v="0"/>
    <x v="0"/>
    <x v="1"/>
    <x v="0"/>
    <x v="0"/>
    <x v="0"/>
    <x v="0"/>
    <x v="0"/>
    <n v="19700"/>
  </r>
  <r>
    <s v="P1001305"/>
    <x v="0"/>
    <s v="INO10004.90"/>
    <x v="2"/>
    <x v="0"/>
    <s v="Cairns-40kg surge hopper"/>
    <x v="2"/>
    <n v="48000"/>
    <n v="1547.2"/>
    <n v="1547.2"/>
    <n v="0"/>
    <n v="1547.2"/>
    <s v="Paul"/>
    <s v="Rylewski"/>
    <s v="FWC11"/>
    <d v="2010-08-25T00:00:00"/>
    <x v="7"/>
    <x v="1"/>
    <x v="2"/>
    <x v="0"/>
    <x v="0"/>
    <x v="1"/>
    <x v="0"/>
    <x v="0"/>
    <x v="0"/>
    <x v="0"/>
    <x v="0"/>
    <n v="1547.2"/>
  </r>
  <r>
    <s v="P1001327"/>
    <x v="0"/>
    <s v="ICM10004"/>
    <x v="10"/>
    <x v="7"/>
    <s v="Digital Marketing IT Framework &amp; Agro Community"/>
    <x v="0"/>
    <n v="260000"/>
    <n v="241000"/>
    <n v="241000"/>
    <n v="0"/>
    <n v="241000"/>
    <s v="Emma"/>
    <s v="Gilmour"/>
    <s v="FMP06"/>
    <d v="2010-09-03T00:00:00"/>
    <x v="28"/>
    <x v="4"/>
    <x v="2"/>
    <x v="0"/>
    <x v="0"/>
    <x v="1"/>
    <x v="0"/>
    <x v="0"/>
    <x v="0"/>
    <x v="0"/>
    <x v="0"/>
    <n v="241000"/>
  </r>
  <r>
    <s v="P1001331"/>
    <x v="1"/>
    <s v="IGO10001.320"/>
    <x v="3"/>
    <x v="0"/>
    <s v="T208A Upper hopper Replacement"/>
    <x v="3"/>
    <n v="27250"/>
    <n v="27249.759999999998"/>
    <n v="27249.759999999998"/>
    <n v="0"/>
    <n v="27249.759999999998"/>
    <s v="Stephen"/>
    <s v="Moon"/>
    <s v="GOG06"/>
    <d v="2010-09-06T00:00:00"/>
    <x v="6"/>
    <x v="1"/>
    <x v="2"/>
    <x v="0"/>
    <x v="0"/>
    <x v="2"/>
    <x v="0"/>
    <x v="0"/>
    <x v="0"/>
    <x v="0"/>
    <x v="0"/>
    <n v="27249.759999999998"/>
  </r>
  <r>
    <s v="P1001332"/>
    <x v="1"/>
    <s v="IGA10028"/>
    <x v="3"/>
    <x v="2"/>
    <s v="GIW 2011 SD - SB604 Level Trip"/>
    <x v="5"/>
    <n v="48583"/>
    <n v="10470"/>
    <n v="10470"/>
    <n v="0"/>
    <n v="10470"/>
    <s v="Todd"/>
    <s v="Mclennan"/>
    <s v="G0A01"/>
    <d v="2010-09-06T00:00:00"/>
    <x v="6"/>
    <x v="1"/>
    <x v="2"/>
    <x v="0"/>
    <x v="0"/>
    <x v="1"/>
    <x v="0"/>
    <x v="0"/>
    <x v="0"/>
    <x v="0"/>
    <x v="0"/>
    <n v="10470"/>
  </r>
  <r>
    <s v="P1001333"/>
    <x v="1"/>
    <s v="IGO10001.310"/>
    <x v="3"/>
    <x v="0"/>
    <s v="Safety Structure To Fill T7101"/>
    <x v="5"/>
    <n v="47868"/>
    <n v="25410.6"/>
    <n v="25410.6"/>
    <n v="0"/>
    <n v="25410.6"/>
    <s v="Con"/>
    <s v="Lamari"/>
    <s v="GOU01"/>
    <d v="2010-09-06T00:00:00"/>
    <x v="6"/>
    <x v="1"/>
    <x v="2"/>
    <x v="0"/>
    <x v="0"/>
    <x v="1"/>
    <x v="0"/>
    <x v="0"/>
    <x v="0"/>
    <x v="0"/>
    <x v="0"/>
    <n v="25410.6"/>
  </r>
  <r>
    <s v="P1001340"/>
    <x v="0"/>
    <s v="IGE10047"/>
    <x v="6"/>
    <x v="5"/>
    <s v="GEMC10-001 Acid Loading arm automation"/>
    <x v="5"/>
    <n v="55021"/>
    <n v="6952.06"/>
    <n v="6952.06"/>
    <n v="0"/>
    <n v="6952.06"/>
    <s v="Gary"/>
    <s v="Bodnar"/>
    <s v="GES01"/>
    <d v="2010-09-08T00:00:00"/>
    <x v="11"/>
    <x v="4"/>
    <x v="2"/>
    <x v="0"/>
    <x v="0"/>
    <x v="1"/>
    <x v="0"/>
    <x v="0"/>
    <x v="0"/>
    <x v="0"/>
    <x v="0"/>
    <n v="6952.06"/>
  </r>
  <r>
    <s v="P1001345"/>
    <x v="1"/>
    <s v="IGG10004"/>
    <x v="3"/>
    <x v="0"/>
    <s v="Replace C202 Compressor"/>
    <x v="3"/>
    <n v="35420"/>
    <n v="35418.589999999997"/>
    <n v="35418.589999999997"/>
    <n v="0"/>
    <n v="35418.589999999997"/>
    <s v="Stephen"/>
    <s v="Moon"/>
    <s v="GOG06"/>
    <d v="2010-09-08T00:00:00"/>
    <x v="6"/>
    <x v="1"/>
    <x v="2"/>
    <x v="0"/>
    <x v="0"/>
    <x v="2"/>
    <x v="0"/>
    <x v="0"/>
    <x v="0"/>
    <x v="0"/>
    <x v="0"/>
    <n v="35418.589999999997"/>
  </r>
  <r>
    <s v="P1001346"/>
    <x v="0"/>
    <s v="IPM10003.60"/>
    <x v="8"/>
    <x v="0"/>
    <s v="Despatch #1 Shuttle Conveyor Switchboard Upgrade"/>
    <x v="0"/>
    <n v="49000"/>
    <n v="13346.4"/>
    <n v="13346.4"/>
    <n v="0"/>
    <n v="13346.4"/>
    <s v="Karl"/>
    <s v="Nowakowski"/>
    <s v="FWP01"/>
    <d v="2010-09-08T00:00:00"/>
    <x v="21"/>
    <x v="4"/>
    <x v="2"/>
    <x v="0"/>
    <x v="0"/>
    <x v="1"/>
    <x v="0"/>
    <x v="0"/>
    <x v="0"/>
    <x v="0"/>
    <x v="0"/>
    <n v="13346.4"/>
  </r>
  <r>
    <s v="P1001347"/>
    <x v="1"/>
    <s v="IGG10006"/>
    <x v="3"/>
    <x v="0"/>
    <s v="CR206A &amp; C. Replacement of Crusher Drums"/>
    <x v="3"/>
    <n v="26620"/>
    <n v="26619.61"/>
    <n v="26619.61"/>
    <n v="0"/>
    <n v="26619.61"/>
    <s v="Stephen"/>
    <s v="Moon"/>
    <s v="GOG06"/>
    <d v="2010-09-13T00:00:00"/>
    <x v="6"/>
    <x v="1"/>
    <x v="2"/>
    <x v="0"/>
    <x v="0"/>
    <x v="2"/>
    <x v="0"/>
    <x v="0"/>
    <x v="0"/>
    <x v="0"/>
    <x v="0"/>
    <n v="26619.61"/>
  </r>
  <r>
    <s v="P1001348"/>
    <x v="1"/>
    <s v="IGG10007"/>
    <x v="3"/>
    <x v="0"/>
    <s v="CY205 A/B. Replace With Ducting"/>
    <x v="2"/>
    <n v="26895"/>
    <n v="26894.71"/>
    <n v="26894.71"/>
    <n v="0"/>
    <n v="26894.71"/>
    <s v="Stephen"/>
    <s v="Moon"/>
    <s v="GOG06"/>
    <d v="2010-09-13T00:00:00"/>
    <x v="6"/>
    <x v="1"/>
    <x v="2"/>
    <x v="0"/>
    <x v="0"/>
    <x v="2"/>
    <x v="0"/>
    <x v="0"/>
    <x v="0"/>
    <x v="0"/>
    <x v="0"/>
    <n v="26894.71"/>
  </r>
  <r>
    <s v="P1001349"/>
    <x v="1"/>
    <s v="IGG10005"/>
    <x v="3"/>
    <x v="0"/>
    <s v="CR205A &amp; C - Replacement Spring Packs"/>
    <x v="2"/>
    <n v="38090"/>
    <n v="38090.160000000003"/>
    <n v="38090.160000000003"/>
    <n v="0"/>
    <n v="38090.160000000003"/>
    <s v="Stephen"/>
    <s v="Moon"/>
    <s v="GOG06"/>
    <d v="2010-09-13T00:00:00"/>
    <x v="6"/>
    <x v="1"/>
    <x v="2"/>
    <x v="0"/>
    <x v="0"/>
    <x v="2"/>
    <x v="0"/>
    <x v="0"/>
    <x v="0"/>
    <x v="0"/>
    <x v="0"/>
    <n v="38090.160000000003"/>
  </r>
  <r>
    <s v="P1001350"/>
    <x v="1"/>
    <s v="IGO10001.330"/>
    <x v="3"/>
    <x v="0"/>
    <s v="Replace faulty R603 inlet valve actuator."/>
    <x v="9"/>
    <n v="17500"/>
    <n v="11506.83"/>
    <n v="11506.83"/>
    <n v="0"/>
    <n v="11506.83"/>
    <s v="Victor"/>
    <s v="Odman"/>
    <s v="GOA01"/>
    <d v="2010-09-13T00:00:00"/>
    <x v="6"/>
    <x v="1"/>
    <x v="2"/>
    <x v="0"/>
    <x v="0"/>
    <x v="1"/>
    <x v="0"/>
    <x v="0"/>
    <x v="0"/>
    <x v="0"/>
    <x v="0"/>
    <n v="11506.83"/>
  </r>
  <r>
    <s v="P1001352"/>
    <x v="0"/>
    <s v="IPM10003.70"/>
    <x v="8"/>
    <x v="0"/>
    <s v="Acid Receival Equipment Trailer Replacements"/>
    <x v="0"/>
    <n v="7472"/>
    <n v="6861.91"/>
    <n v="6861.91"/>
    <n v="0"/>
    <n v="6861.91"/>
    <s v="Brian"/>
    <s v="Murphy"/>
    <s v="PTS03"/>
    <d v="2010-09-13T00:00:00"/>
    <x v="13"/>
    <x v="4"/>
    <x v="2"/>
    <x v="0"/>
    <x v="0"/>
    <x v="1"/>
    <x v="0"/>
    <x v="0"/>
    <x v="0"/>
    <x v="0"/>
    <x v="0"/>
    <n v="6861.91"/>
  </r>
  <r>
    <s v="P1001354"/>
    <x v="1"/>
    <s v="IGG10008"/>
    <x v="3"/>
    <x v="0"/>
    <s v="High Voltage Cable Replacement Granulation Plant."/>
    <x v="3"/>
    <n v="71760"/>
    <n v="71756.36"/>
    <n v="71756.36"/>
    <n v="0"/>
    <n v="71756.36"/>
    <s v="Stephen"/>
    <s v="Moon"/>
    <s v="GOG06"/>
    <d v="2010-09-14T00:00:00"/>
    <x v="6"/>
    <x v="1"/>
    <x v="2"/>
    <x v="0"/>
    <x v="0"/>
    <x v="1"/>
    <x v="0"/>
    <x v="0"/>
    <x v="0"/>
    <x v="0"/>
    <x v="0"/>
    <n v="71756.36"/>
  </r>
  <r>
    <s v="P1001355"/>
    <x v="1"/>
    <s v="IGU10013"/>
    <x v="3"/>
    <x v="0"/>
    <s v="Urea Plant HHE Overhead Crane Upgrade"/>
    <x v="5"/>
    <n v="195248"/>
    <n v="100713.75"/>
    <n v="100713.75"/>
    <n v="0"/>
    <n v="100713.75"/>
    <s v="Khe"/>
    <s v="Tan"/>
    <s v="GOU01"/>
    <d v="2010-09-14T00:00:00"/>
    <x v="6"/>
    <x v="1"/>
    <x v="2"/>
    <x v="0"/>
    <x v="0"/>
    <x v="1"/>
    <x v="0"/>
    <x v="0"/>
    <x v="0"/>
    <x v="0"/>
    <x v="0"/>
    <n v="100713.75"/>
  </r>
  <r>
    <s v="P1001356"/>
    <x v="1"/>
    <s v="IGA10031"/>
    <x v="3"/>
    <x v="2"/>
    <s v="GIW R601 CETEK Coating of Radiant Refractory"/>
    <x v="0"/>
    <n v="250859"/>
    <n v="10691.9"/>
    <n v="10691.9"/>
    <n v="0"/>
    <n v="10691.9"/>
    <s v="David"/>
    <s v="Rowbottom"/>
    <s v="GOA01"/>
    <d v="2010-09-14T00:00:00"/>
    <x v="6"/>
    <x v="1"/>
    <x v="2"/>
    <x v="0"/>
    <x v="0"/>
    <x v="1"/>
    <x v="0"/>
    <x v="0"/>
    <x v="0"/>
    <x v="0"/>
    <x v="0"/>
    <n v="10691.9"/>
  </r>
  <r>
    <s v="P1001359"/>
    <x v="1"/>
    <s v="IGO10001.340"/>
    <x v="3"/>
    <x v="0"/>
    <s v="Safe House Personal Protective Equipment"/>
    <x v="0"/>
    <n v="61619"/>
    <n v="59914.54"/>
    <n v="59914.54"/>
    <n v="0"/>
    <n v="59914.54"/>
    <s v="Troy"/>
    <s v="Knox"/>
    <s v="GE005"/>
    <d v="2010-09-14T00:00:00"/>
    <x v="6"/>
    <x v="1"/>
    <x v="2"/>
    <x v="0"/>
    <x v="0"/>
    <x v="1"/>
    <x v="0"/>
    <x v="0"/>
    <x v="0"/>
    <x v="0"/>
    <x v="0"/>
    <n v="59914.54"/>
  </r>
  <r>
    <s v="P1001360"/>
    <x v="0"/>
    <s v="IGE10048"/>
    <x v="6"/>
    <x v="0"/>
    <s v="GEO152 Oyster Cove Top of Load"/>
    <x v="0"/>
    <n v="92647"/>
    <n v="11225"/>
    <n v="11225"/>
    <n v="0"/>
    <n v="11225"/>
    <s v="Stephen"/>
    <s v="McDonald"/>
    <s v="FRS07"/>
    <d v="2010-09-14T00:00:00"/>
    <x v="22"/>
    <x v="4"/>
    <x v="2"/>
    <x v="0"/>
    <x v="0"/>
    <x v="1"/>
    <x v="0"/>
    <x v="0"/>
    <x v="0"/>
    <x v="0"/>
    <x v="0"/>
    <n v="11225"/>
  </r>
  <r>
    <s v="P1001361"/>
    <x v="1"/>
    <s v="IGA10030"/>
    <x v="3"/>
    <x v="2"/>
    <s v="GIW TP620 &amp; TP621 Overspeed Protection Upgrade"/>
    <x v="0"/>
    <n v="213440"/>
    <n v="35658"/>
    <n v="35658"/>
    <n v="0"/>
    <n v="35658"/>
    <s v="Brad"/>
    <s v="Love"/>
    <s v="GOA01"/>
    <d v="2010-09-14T00:00:00"/>
    <x v="6"/>
    <x v="1"/>
    <x v="2"/>
    <x v="0"/>
    <x v="0"/>
    <x v="1"/>
    <x v="0"/>
    <x v="0"/>
    <x v="0"/>
    <x v="0"/>
    <x v="0"/>
    <n v="35658"/>
  </r>
  <r>
    <s v="P1001363"/>
    <x v="0"/>
    <s v="IPD10005"/>
    <x v="8"/>
    <x v="0"/>
    <s v="Dens Xflow Structure"/>
    <x v="0"/>
    <n v="127000"/>
    <n v="26355.8"/>
    <n v="26355.8"/>
    <n v="0"/>
    <n v="26355.8"/>
    <s v="Karl"/>
    <s v="Nowakowski"/>
    <s v="FWP01"/>
    <d v="2010-09-14T00:00:00"/>
    <x v="13"/>
    <x v="4"/>
    <x v="2"/>
    <x v="0"/>
    <x v="0"/>
    <x v="1"/>
    <x v="0"/>
    <x v="0"/>
    <x v="0"/>
    <x v="0"/>
    <x v="0"/>
    <n v="26355.8"/>
  </r>
  <r>
    <s v="P1001364"/>
    <x v="1"/>
    <s v="IGU10014"/>
    <x v="3"/>
    <x v="2"/>
    <s v="Urea Plant Over Pressure Protection"/>
    <x v="0"/>
    <n v="50113"/>
    <n v="1160"/>
    <n v="1160"/>
    <n v="0"/>
    <n v="1160"/>
    <s v="Khe"/>
    <s v="Siang Tan"/>
    <s v="GOU01"/>
    <d v="2010-09-14T00:00:00"/>
    <x v="6"/>
    <x v="1"/>
    <x v="2"/>
    <x v="0"/>
    <x v="0"/>
    <x v="1"/>
    <x v="0"/>
    <x v="0"/>
    <x v="0"/>
    <x v="0"/>
    <x v="0"/>
    <n v="1160"/>
  </r>
  <r>
    <s v="P1001367"/>
    <x v="1"/>
    <s v="IGO10013"/>
    <x v="3"/>
    <x v="0"/>
    <s v="GI Site Fire Protection Stage 3"/>
    <x v="0"/>
    <n v="951391"/>
    <n v="53149.26"/>
    <n v="53149.26"/>
    <n v="0"/>
    <n v="53149.26"/>
    <s v="Craig"/>
    <s v="Ross"/>
    <s v="GW001"/>
    <d v="2010-09-14T00:00:00"/>
    <x v="6"/>
    <x v="1"/>
    <x v="2"/>
    <x v="0"/>
    <x v="0"/>
    <x v="1"/>
    <x v="0"/>
    <x v="0"/>
    <x v="0"/>
    <x v="0"/>
    <x v="0"/>
    <n v="53149.26"/>
  </r>
  <r>
    <s v="P1001390"/>
    <x v="2"/>
    <s v="SPP10019"/>
    <x v="4"/>
    <x v="0"/>
    <s v="Purchase of Spare HH Filter Carrier Belt"/>
    <x v="0"/>
    <n v="241640"/>
    <n v="119070"/>
    <n v="119070"/>
    <n v="0"/>
    <n v="119070"/>
    <s v="Merwe"/>
    <s v="van der Lodewyk"/>
    <s v="SPP01"/>
    <d v="2010-09-16T00:00:00"/>
    <x v="17"/>
    <x v="1"/>
    <x v="2"/>
    <x v="0"/>
    <x v="0"/>
    <x v="1"/>
    <x v="0"/>
    <x v="0"/>
    <x v="0"/>
    <x v="0"/>
    <x v="0"/>
    <n v="119070"/>
  </r>
  <r>
    <s v="P1001392"/>
    <x v="0"/>
    <s v="INO10004.100"/>
    <x v="2"/>
    <x v="0"/>
    <s v="Stripping and Re-bagging Frame"/>
    <x v="5"/>
    <n v="14975"/>
    <n v="14951.38"/>
    <n v="14951.38"/>
    <n v="0"/>
    <n v="14951.38"/>
    <s v="David"/>
    <s v="Collins"/>
    <s v="FWT06"/>
    <d v="2010-09-17T00:00:00"/>
    <x v="7"/>
    <x v="1"/>
    <x v="2"/>
    <x v="0"/>
    <x v="0"/>
    <x v="1"/>
    <x v="0"/>
    <x v="0"/>
    <x v="0"/>
    <x v="0"/>
    <x v="0"/>
    <n v="14951.38"/>
  </r>
  <r>
    <s v="P1001393"/>
    <x v="0"/>
    <s v="INO10004.110"/>
    <x v="2"/>
    <x v="0"/>
    <s v="Fuel Storage Tank - Townsville PDC"/>
    <x v="5"/>
    <n v="9300"/>
    <n v="9147.85"/>
    <n v="9147.85"/>
    <n v="0"/>
    <n v="9147.85"/>
    <s v="David"/>
    <s v="Collins"/>
    <s v="FWT06"/>
    <d v="2010-09-17T00:00:00"/>
    <x v="23"/>
    <x v="1"/>
    <x v="2"/>
    <x v="0"/>
    <x v="0"/>
    <x v="1"/>
    <x v="0"/>
    <x v="0"/>
    <x v="0"/>
    <x v="0"/>
    <x v="0"/>
    <n v="9147.85"/>
  </r>
  <r>
    <s v="P1001398"/>
    <x v="0"/>
    <s v="INO10004.140"/>
    <x v="2"/>
    <x v="0"/>
    <s v="Townsville Security Fence"/>
    <x v="0"/>
    <n v="21625"/>
    <n v="19650"/>
    <n v="19650"/>
    <n v="0"/>
    <n v="19650"/>
    <s v="Robert"/>
    <s v="Bowden"/>
    <s v="FWT06"/>
    <d v="2010-09-17T00:00:00"/>
    <x v="7"/>
    <x v="1"/>
    <x v="2"/>
    <x v="0"/>
    <x v="0"/>
    <x v="1"/>
    <x v="0"/>
    <x v="0"/>
    <x v="0"/>
    <x v="0"/>
    <x v="0"/>
    <n v="19650"/>
  </r>
  <r>
    <s v="P1001400"/>
    <x v="0"/>
    <s v="IWL10006"/>
    <x v="11"/>
    <x v="0"/>
    <s v="UV Visible Spectrophotometer"/>
    <x v="0"/>
    <n v="30000"/>
    <n v="30000"/>
    <n v="30000"/>
    <n v="0"/>
    <n v="30000"/>
    <s v="Lisa"/>
    <s v="Koch"/>
    <s v="FMS01"/>
    <d v="2010-09-17T00:00:00"/>
    <x v="20"/>
    <x v="4"/>
    <x v="2"/>
    <x v="0"/>
    <x v="0"/>
    <x v="1"/>
    <x v="0"/>
    <x v="0"/>
    <x v="0"/>
    <x v="0"/>
    <x v="0"/>
    <n v="30000"/>
  </r>
  <r>
    <s v="P1001401"/>
    <x v="0"/>
    <s v="IWL10007"/>
    <x v="11"/>
    <x v="0"/>
    <s v="Replacement of Centrifuges"/>
    <x v="0"/>
    <n v="25000"/>
    <n v="30000"/>
    <n v="30000"/>
    <n v="0"/>
    <n v="30000"/>
    <s v="Lisa"/>
    <s v="Koch"/>
    <s v="FMS01"/>
    <d v="2010-09-17T00:00:00"/>
    <x v="20"/>
    <x v="4"/>
    <x v="2"/>
    <x v="0"/>
    <x v="0"/>
    <x v="1"/>
    <x v="0"/>
    <x v="0"/>
    <x v="0"/>
    <x v="0"/>
    <x v="0"/>
    <n v="30000"/>
  </r>
  <r>
    <s v="P1001403"/>
    <x v="0"/>
    <s v="IWL10008"/>
    <x v="11"/>
    <x v="0"/>
    <s v="Flow Injection Analyser"/>
    <x v="2"/>
    <n v="130000"/>
    <n v="138600"/>
    <n v="138600"/>
    <n v="0"/>
    <n v="138600"/>
    <s v="Lisa"/>
    <s v="Koch"/>
    <s v="FMS01"/>
    <d v="2010-09-18T00:00:00"/>
    <x v="20"/>
    <x v="4"/>
    <x v="2"/>
    <x v="0"/>
    <x v="0"/>
    <x v="1"/>
    <x v="0"/>
    <x v="0"/>
    <x v="0"/>
    <x v="0"/>
    <x v="0"/>
    <n v="138600"/>
  </r>
  <r>
    <s v="P1001406"/>
    <x v="0"/>
    <s v="IWL10009"/>
    <x v="10"/>
    <x v="7"/>
    <s v="Customer Portal - Online Upgrade (Stage 1)"/>
    <x v="10"/>
    <n v="89000"/>
    <n v="37717.24"/>
    <n v="37717.24"/>
    <n v="0"/>
    <n v="37717.24"/>
    <s v="Paul"/>
    <s v="O'connor"/>
    <s v="FRD05"/>
    <d v="2010-09-18T00:00:00"/>
    <x v="29"/>
    <x v="4"/>
    <x v="2"/>
    <x v="0"/>
    <x v="0"/>
    <x v="1"/>
    <x v="0"/>
    <x v="0"/>
    <x v="0"/>
    <x v="0"/>
    <x v="0"/>
    <n v="37717.24"/>
  </r>
  <r>
    <s v="P1001407"/>
    <x v="0"/>
    <s v="INO10018"/>
    <x v="2"/>
    <x v="0"/>
    <s v="Mackay Asbestos Management Stage 1"/>
    <x v="0"/>
    <n v="254220"/>
    <n v="253854.29"/>
    <n v="253854.29"/>
    <n v="0"/>
    <n v="253854.29"/>
    <s v="Ray"/>
    <s v="Gofton"/>
    <s v="FWM08"/>
    <d v="2010-09-18T00:00:00"/>
    <x v="7"/>
    <x v="1"/>
    <x v="2"/>
    <x v="0"/>
    <x v="0"/>
    <x v="1"/>
    <x v="0"/>
    <x v="0"/>
    <x v="0"/>
    <x v="0"/>
    <x v="0"/>
    <n v="253854.29"/>
  </r>
  <r>
    <s v="P1001412"/>
    <x v="0"/>
    <s v="IPM10017"/>
    <x v="8"/>
    <x v="0"/>
    <s v="Workshop Lathe Purchase"/>
    <x v="0"/>
    <n v="19500"/>
    <n v="19432.43"/>
    <n v="19432.43"/>
    <n v="0"/>
    <n v="19432.43"/>
    <s v="Karl"/>
    <s v="Nowakowski"/>
    <s v="PTM01"/>
    <d v="2010-09-22T00:00:00"/>
    <x v="13"/>
    <x v="4"/>
    <x v="2"/>
    <x v="0"/>
    <x v="0"/>
    <x v="1"/>
    <x v="0"/>
    <x v="0"/>
    <x v="0"/>
    <x v="0"/>
    <x v="0"/>
    <n v="19432.43"/>
  </r>
  <r>
    <s v="P1001418"/>
    <x v="1"/>
    <s v="IGO10001.350"/>
    <x v="3"/>
    <x v="0"/>
    <s v="Bris Ops Electrical Test &amp; Tag Equipment"/>
    <x v="5"/>
    <n v="19532"/>
    <n v="15256"/>
    <n v="15256"/>
    <n v="0"/>
    <n v="15256"/>
    <s v="Daniel"/>
    <s v="O'shea"/>
    <s v="GE005"/>
    <d v="2010-09-23T00:00:00"/>
    <x v="6"/>
    <x v="1"/>
    <x v="2"/>
    <x v="0"/>
    <x v="0"/>
    <x v="1"/>
    <x v="0"/>
    <x v="0"/>
    <x v="0"/>
    <x v="0"/>
    <x v="0"/>
    <n v="15256"/>
  </r>
  <r>
    <s v="P1001419"/>
    <x v="0"/>
    <s v="IPM10003.90"/>
    <x v="8"/>
    <x v="0"/>
    <s v="Despatch T1 Hopper Control Panel Replacement"/>
    <x v="0"/>
    <n v="57000"/>
    <n v="4001.45"/>
    <n v="4001.45"/>
    <n v="0"/>
    <n v="4001.45"/>
    <s v="Karl"/>
    <s v="Nowakowski"/>
    <s v="FWP01"/>
    <d v="2010-09-24T00:00:00"/>
    <x v="21"/>
    <x v="4"/>
    <x v="2"/>
    <x v="0"/>
    <x v="0"/>
    <x v="1"/>
    <x v="0"/>
    <x v="0"/>
    <x v="0"/>
    <x v="0"/>
    <x v="0"/>
    <n v="4001.4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57">
  <r>
    <s v="Blank"/>
    <x v="0"/>
    <s v="INS11001"/>
    <x v="0"/>
    <x v="0"/>
    <s v="Unknown"/>
    <x v="0"/>
    <x v="0"/>
    <n v="0"/>
    <n v="24518.51"/>
    <n v="24518.51"/>
    <n v="0"/>
    <n v="24518.51"/>
    <m/>
    <m/>
    <x v="0"/>
    <m/>
    <d v="1899-12-30T00:00:00"/>
    <s v="Moranbah"/>
    <x v="0"/>
    <x v="0"/>
    <x v="0"/>
    <x v="0"/>
    <x v="0"/>
    <x v="0"/>
    <x v="0"/>
    <x v="0"/>
    <x v="0"/>
    <x v="0"/>
    <x v="0"/>
    <n v="24518.51"/>
  </r>
  <r>
    <s v="Blank"/>
    <x v="1"/>
    <s v="SPO10002"/>
    <x v="1"/>
    <x v="1"/>
    <s v="Unknown"/>
    <x v="0"/>
    <x v="0"/>
    <n v="0"/>
    <n v="62225.18"/>
    <n v="62225.18"/>
    <n v="0"/>
    <n v="62225.18"/>
    <m/>
    <m/>
    <x v="0"/>
    <m/>
    <d v="1899-12-30T00:00:00"/>
    <m/>
    <x v="1"/>
    <x v="0"/>
    <x v="0"/>
    <x v="1"/>
    <x v="0"/>
    <x v="0"/>
    <x v="1"/>
    <x v="0"/>
    <x v="0"/>
    <x v="0"/>
    <x v="0"/>
    <n v="62225.18"/>
  </r>
  <r>
    <s v="G0700017"/>
    <x v="2"/>
    <s v="SCF07504"/>
    <x v="1"/>
    <x v="1"/>
    <s v="Spare - So2 Blower Motor - Stage 1"/>
    <x v="1"/>
    <x v="0"/>
    <n v="139000"/>
    <n v="45"/>
    <n v="0"/>
    <n v="649078.73"/>
    <n v="649123.73"/>
    <s v="Mark"/>
    <s v="Poli"/>
    <x v="1"/>
    <s v="SMS01"/>
    <d v="2007-08-02T00:00:00"/>
    <s v="Mt. Isa"/>
    <x v="0"/>
    <x v="1"/>
    <x v="1"/>
    <x v="1"/>
    <x v="0"/>
    <x v="1"/>
    <x v="2"/>
    <x v="0"/>
    <x v="0"/>
    <x v="0"/>
    <x v="0"/>
    <n v="0"/>
  </r>
  <r>
    <s v="G0800060"/>
    <x v="1"/>
    <s v="SPO08023"/>
    <x v="1"/>
    <x v="1"/>
    <s v="Medical Centre Upgr - Phos Hill"/>
    <x v="2"/>
    <x v="0"/>
    <n v="301000"/>
    <n v="-8181.82"/>
    <n v="0"/>
    <n v="8181.82"/>
    <n v="0"/>
    <s v="Tom"/>
    <s v="Wilson"/>
    <x v="2"/>
    <s v="SPZ13"/>
    <d v="2008-07-04T00:00:00"/>
    <s v="Phosphate Hill"/>
    <x v="0"/>
    <x v="1"/>
    <x v="1"/>
    <x v="1"/>
    <x v="0"/>
    <x v="2"/>
    <x v="2"/>
    <x v="0"/>
    <x v="0"/>
    <x v="0"/>
    <x v="0"/>
    <n v="-8181.82"/>
  </r>
  <r>
    <s v="G0800071"/>
    <x v="1"/>
    <s v="SPP08014"/>
    <x v="1"/>
    <x v="1"/>
    <s v="Valve Automation - Plant Wash Acid Mixer"/>
    <x v="1"/>
    <x v="0"/>
    <n v="49000"/>
    <n v="-4007.5"/>
    <n v="0"/>
    <n v="4007.5"/>
    <n v="0"/>
    <s v="Paul"/>
    <s v="McLoughlin"/>
    <x v="2"/>
    <s v="SPP01"/>
    <d v="2008-09-05T00:00:00"/>
    <s v="Phosphate Hill"/>
    <x v="0"/>
    <x v="1"/>
    <x v="1"/>
    <x v="1"/>
    <x v="0"/>
    <x v="2"/>
    <x v="2"/>
    <x v="0"/>
    <x v="0"/>
    <x v="0"/>
    <x v="0"/>
    <n v="-4007.5"/>
  </r>
  <r>
    <s v="G0800075"/>
    <x v="3"/>
    <s v="G0800075"/>
    <x v="1"/>
    <x v="1"/>
    <s v="Unknown"/>
    <x v="0"/>
    <x v="0"/>
    <n v="0"/>
    <n v="-35347"/>
    <n v="0"/>
    <n v="0"/>
    <n v="-35347"/>
    <m/>
    <m/>
    <x v="0"/>
    <m/>
    <d v="1899-12-30T00:00:00"/>
    <m/>
    <x v="1"/>
    <x v="0"/>
    <x v="0"/>
    <x v="1"/>
    <x v="0"/>
    <x v="0"/>
    <x v="1"/>
    <x v="0"/>
    <x v="0"/>
    <x v="0"/>
    <x v="0"/>
    <n v="0"/>
  </r>
  <r>
    <s v="G0800075"/>
    <x v="1"/>
    <s v="SPO08011"/>
    <x v="1"/>
    <x v="1"/>
    <s v="Auto &amp; Semi Automatic External Defibrillator"/>
    <x v="3"/>
    <x v="0"/>
    <n v="33000"/>
    <n v="35347"/>
    <n v="0"/>
    <n v="0"/>
    <n v="35347"/>
    <s v="David"/>
    <s v="Zeller"/>
    <x v="2"/>
    <s v="STZ01"/>
    <d v="2008-09-08T00:00:00"/>
    <s v="Phosphate Hill"/>
    <x v="0"/>
    <x v="1"/>
    <x v="1"/>
    <x v="1"/>
    <x v="0"/>
    <x v="1"/>
    <x v="2"/>
    <x v="0"/>
    <x v="0"/>
    <x v="0"/>
    <x v="0"/>
    <n v="0"/>
  </r>
  <r>
    <s v="G0900002"/>
    <x v="1"/>
    <s v="SPO09002"/>
    <x v="1"/>
    <x v="1"/>
    <s v="Potable Water Automatic Sampling &amp; Chlorination St"/>
    <x v="3"/>
    <x v="0"/>
    <n v="43000"/>
    <n v="3230"/>
    <n v="2380"/>
    <n v="32983.61"/>
    <n v="36213.61"/>
    <s v="Hans"/>
    <s v="Van Bovene"/>
    <x v="3"/>
    <s v="SPZ08"/>
    <d v="2008-10-19T00:00:00"/>
    <s v="Phosphate Hill"/>
    <x v="0"/>
    <x v="1"/>
    <x v="1"/>
    <x v="1"/>
    <x v="0"/>
    <x v="1"/>
    <x v="2"/>
    <x v="0"/>
    <x v="0"/>
    <x v="0"/>
    <x v="0"/>
    <n v="3230"/>
  </r>
  <r>
    <s v="G0900009"/>
    <x v="3"/>
    <s v="SOH09001"/>
    <x v="1"/>
    <x v="1"/>
    <s v="Tsvl Office Integration"/>
    <x v="3"/>
    <x v="0"/>
    <n v="169000"/>
    <n v="-146965.04999999999"/>
    <n v="0"/>
    <n v="146965.04999999999"/>
    <n v="0"/>
    <s v="Damion"/>
    <s v="Hillhouse"/>
    <x v="3"/>
    <s v="STZ05"/>
    <d v="2008-12-06T00:00:00"/>
    <s v="Townsville"/>
    <x v="0"/>
    <x v="1"/>
    <x v="1"/>
    <x v="1"/>
    <x v="0"/>
    <x v="1"/>
    <x v="2"/>
    <x v="0"/>
    <x v="0"/>
    <x v="0"/>
    <x v="0"/>
    <n v="0"/>
  </r>
  <r>
    <s v="G0900009"/>
    <x v="1"/>
    <s v="G0900009"/>
    <x v="1"/>
    <x v="1"/>
    <s v="Unknown"/>
    <x v="0"/>
    <x v="0"/>
    <n v="0"/>
    <n v="146965.04999999999"/>
    <n v="0"/>
    <n v="0"/>
    <n v="146965.04999999999"/>
    <m/>
    <m/>
    <x v="0"/>
    <m/>
    <d v="1899-12-30T00:00:00"/>
    <m/>
    <x v="1"/>
    <x v="0"/>
    <x v="0"/>
    <x v="1"/>
    <x v="0"/>
    <x v="0"/>
    <x v="1"/>
    <x v="0"/>
    <x v="0"/>
    <x v="0"/>
    <x v="0"/>
    <n v="0"/>
  </r>
  <r>
    <s v="G0900013"/>
    <x v="1"/>
    <s v="SPG09005"/>
    <x v="1"/>
    <x v="1"/>
    <s v="Spare - Rotary Dryer Girth Gear"/>
    <x v="4"/>
    <x v="0"/>
    <n v="473000"/>
    <n v="-399351.03999999998"/>
    <n v="0"/>
    <n v="399351.03999999998"/>
    <n v="0"/>
    <s v="Daniel"/>
    <s v="Morton"/>
    <x v="3"/>
    <s v="SPG01"/>
    <d v="2009-01-08T00:00:00"/>
    <s v="Phosphate Hill"/>
    <x v="0"/>
    <x v="1"/>
    <x v="1"/>
    <x v="1"/>
    <x v="0"/>
    <x v="1"/>
    <x v="2"/>
    <x v="0"/>
    <x v="0"/>
    <x v="0"/>
    <x v="0"/>
    <n v="-399351.03999999998"/>
  </r>
  <r>
    <m/>
    <x v="4"/>
    <s v="SPG09005"/>
    <x v="1"/>
    <x v="1"/>
    <s v="Add back Spares tsf"/>
    <x v="0"/>
    <x v="1"/>
    <m/>
    <n v="399351.03999999998"/>
    <m/>
    <m/>
    <m/>
    <m/>
    <m/>
    <x v="4"/>
    <m/>
    <m/>
    <m/>
    <x v="1"/>
    <x v="0"/>
    <x v="2"/>
    <x v="2"/>
    <x v="1"/>
    <x v="0"/>
    <x v="3"/>
    <x v="1"/>
    <x v="1"/>
    <x v="1"/>
    <x v="1"/>
    <n v="399351.03999999998"/>
  </r>
  <r>
    <s v="G0900025"/>
    <x v="1"/>
    <s v="SPMS08002"/>
    <x v="1"/>
    <x v="1"/>
    <s v="Upgrade/relocate Borefield Pumps - Stage 1"/>
    <x v="3"/>
    <x v="0"/>
    <n v="1880000"/>
    <n v="24800"/>
    <n v="0"/>
    <n v="1731080.22"/>
    <n v="1755880.22"/>
    <s v="Luke"/>
    <s v="Poli"/>
    <x v="3"/>
    <s v="SPM03"/>
    <d v="2009-02-28T00:00:00"/>
    <s v="Phosphate Hill"/>
    <x v="0"/>
    <x v="1"/>
    <x v="1"/>
    <x v="1"/>
    <x v="0"/>
    <x v="2"/>
    <x v="2"/>
    <x v="0"/>
    <x v="0"/>
    <x v="0"/>
    <x v="0"/>
    <n v="0"/>
  </r>
  <r>
    <s v="G0900026"/>
    <x v="2"/>
    <s v="SMI09015"/>
    <x v="1"/>
    <x v="2"/>
    <s v="Tg Set Control System Upgrade"/>
    <x v="3"/>
    <x v="0"/>
    <n v="325000"/>
    <n v="-12855"/>
    <n v="1450"/>
    <n v="467554.83"/>
    <n v="454699.83"/>
    <s v="Andrew"/>
    <s v="Cantamessa"/>
    <x v="3"/>
    <s v="SMS01"/>
    <d v="2009-03-08T00:00:00"/>
    <s v="Mt Isa"/>
    <x v="0"/>
    <x v="1"/>
    <x v="1"/>
    <x v="1"/>
    <x v="0"/>
    <x v="1"/>
    <x v="2"/>
    <x v="0"/>
    <x v="0"/>
    <x v="0"/>
    <x v="0"/>
    <n v="1450"/>
  </r>
  <r>
    <s v="G0900033"/>
    <x v="2"/>
    <s v="SMIS08020"/>
    <x v="1"/>
    <x v="1"/>
    <s v="Turbine Alternator Cooling Tower Replacement"/>
    <x v="3"/>
    <x v="0"/>
    <n v="3450000"/>
    <n v="0.03"/>
    <n v="-2799.74"/>
    <n v="1846600.02"/>
    <n v="1846600.05"/>
    <s v="Patrick"/>
    <s v="Owens"/>
    <x v="3"/>
    <s v="SMS01"/>
    <d v="2009-05-03T00:00:00"/>
    <s v="Mt Isa"/>
    <x v="0"/>
    <x v="1"/>
    <x v="1"/>
    <x v="1"/>
    <x v="0"/>
    <x v="1"/>
    <x v="2"/>
    <x v="0"/>
    <x v="0"/>
    <x v="2"/>
    <x v="0"/>
    <n v="0.08"/>
  </r>
  <r>
    <s v="G0900036"/>
    <x v="2"/>
    <s v="SCF07504"/>
    <x v="1"/>
    <x v="1"/>
    <s v="Spare - So2 Blower Motor Stage 2"/>
    <x v="3"/>
    <x v="0"/>
    <n v="382000"/>
    <n v="2957.87"/>
    <n v="410.91"/>
    <n v="208745.27"/>
    <n v="211703.14"/>
    <s v="Andrew"/>
    <s v="Cantamessa"/>
    <x v="3"/>
    <s v="SMS01"/>
    <d v="2009-06-06T00:00:00"/>
    <s v="Mt. Isa"/>
    <x v="0"/>
    <x v="1"/>
    <x v="1"/>
    <x v="1"/>
    <x v="0"/>
    <x v="1"/>
    <x v="2"/>
    <x v="0"/>
    <x v="0"/>
    <x v="0"/>
    <x v="0"/>
    <n v="2910.91"/>
  </r>
  <r>
    <s v="P0800416"/>
    <x v="5"/>
    <s v="STO08001"/>
    <x v="1"/>
    <x v="1"/>
    <s v="Replacement Gearbox for Tsv Port Facility"/>
    <x v="5"/>
    <x v="0"/>
    <n v="44168"/>
    <n v="-30396"/>
    <n v="0"/>
    <n v="30396"/>
    <n v="0"/>
    <s v="Geoff"/>
    <s v="Brown"/>
    <x v="2"/>
    <s v="STD08"/>
    <d v="2008-03-26T00:00:00"/>
    <s v="Distribution Northern - Q"/>
    <x v="0"/>
    <x v="1"/>
    <x v="1"/>
    <x v="1"/>
    <x v="0"/>
    <x v="2"/>
    <x v="2"/>
    <x v="0"/>
    <x v="0"/>
    <x v="0"/>
    <x v="0"/>
    <n v="-30396"/>
  </r>
  <r>
    <m/>
    <x v="4"/>
    <s v="STO08001"/>
    <x v="1"/>
    <x v="1"/>
    <s v="Add back Spares tsf"/>
    <x v="0"/>
    <x v="1"/>
    <m/>
    <n v="30396"/>
    <m/>
    <m/>
    <m/>
    <m/>
    <m/>
    <x v="4"/>
    <m/>
    <m/>
    <m/>
    <x v="1"/>
    <x v="0"/>
    <x v="2"/>
    <x v="2"/>
    <x v="1"/>
    <x v="0"/>
    <x v="3"/>
    <x v="1"/>
    <x v="1"/>
    <x v="1"/>
    <x v="1"/>
    <n v="30396"/>
  </r>
  <r>
    <s v="P0800466"/>
    <x v="6"/>
    <s v="IGA08007"/>
    <x v="2"/>
    <x v="1"/>
    <s v="C602/GCT602 Sequencer Replacement"/>
    <x v="5"/>
    <x v="0"/>
    <n v="899987"/>
    <n v="29643.25"/>
    <n v="21346.91"/>
    <n v="803505.7"/>
    <n v="833148.95"/>
    <s v="Todd"/>
    <s v="Mclennan"/>
    <x v="2"/>
    <s v="G0A01"/>
    <d v="2008-06-10T00:00:00"/>
    <s v="QLD Manufacturing"/>
    <x v="0"/>
    <x v="1"/>
    <x v="1"/>
    <x v="1"/>
    <x v="0"/>
    <x v="1"/>
    <x v="2"/>
    <x v="0"/>
    <x v="0"/>
    <x v="0"/>
    <x v="0"/>
    <n v="24543.25"/>
  </r>
  <r>
    <s v="P0800467"/>
    <x v="6"/>
    <s v="IGA08021"/>
    <x v="2"/>
    <x v="1"/>
    <s v="Honeywell Experion Control System Upgrade"/>
    <x v="5"/>
    <x v="0"/>
    <n v="2095000"/>
    <n v="23678.66"/>
    <n v="262.5"/>
    <n v="2153535.6800000002"/>
    <n v="2177214.34"/>
    <s v="John"/>
    <s v="Mccullough"/>
    <x v="2"/>
    <s v="GOA01"/>
    <d v="2008-06-10T00:00:00"/>
    <s v="QLD Manufacturing"/>
    <x v="0"/>
    <x v="1"/>
    <x v="1"/>
    <x v="1"/>
    <x v="0"/>
    <x v="1"/>
    <x v="2"/>
    <x v="0"/>
    <x v="0"/>
    <x v="2"/>
    <x v="0"/>
    <n v="-4383.32"/>
  </r>
  <r>
    <s v="P0800527"/>
    <x v="7"/>
    <s v="INO08019"/>
    <x v="3"/>
    <x v="1"/>
    <s v="AR(C) Stage 1 - Archer Street PDC Refurbishment"/>
    <x v="5"/>
    <x v="0"/>
    <n v="3369860"/>
    <n v="640.79999999999995"/>
    <n v="0"/>
    <n v="646171.87"/>
    <n v="646812.67000000004"/>
    <s v="Gary"/>
    <s v="Page"/>
    <x v="2"/>
    <s v="FWT00"/>
    <d v="2008-08-21T00:00:00"/>
    <s v="Distribution Northern - Q"/>
    <x v="0"/>
    <x v="1"/>
    <x v="0"/>
    <x v="0"/>
    <x v="0"/>
    <x v="2"/>
    <x v="2"/>
    <x v="0"/>
    <x v="0"/>
    <x v="2"/>
    <x v="0"/>
    <n v="0"/>
  </r>
  <r>
    <s v="P0800533"/>
    <x v="6"/>
    <s v="IGU08021"/>
    <x v="2"/>
    <x v="0"/>
    <s v="3rd CO2 Compressor Installation"/>
    <x v="6"/>
    <x v="0"/>
    <n v="15805600"/>
    <n v="592761.48"/>
    <n v="204854.27"/>
    <n v="5723175.1399999997"/>
    <n v="6315936.6200000001"/>
    <s v="David"/>
    <s v="Rowbottom"/>
    <x v="2"/>
    <s v="GOU01"/>
    <d v="2008-08-21T00:00:00"/>
    <s v="QLD Manufacturing"/>
    <x v="0"/>
    <x v="1"/>
    <x v="3"/>
    <x v="3"/>
    <x v="0"/>
    <x v="1"/>
    <x v="2"/>
    <x v="0"/>
    <x v="2"/>
    <x v="2"/>
    <x v="0"/>
    <n v="442302.09"/>
  </r>
  <r>
    <s v="P0800569"/>
    <x v="6"/>
    <s v="IGA08025"/>
    <x v="2"/>
    <x v="1"/>
    <s v="NH3 Shipping Wharf Upgrade"/>
    <x v="5"/>
    <x v="0"/>
    <n v="446894"/>
    <n v="46764.37"/>
    <n v="0"/>
    <n v="319967.92"/>
    <n v="366732.29"/>
    <s v="Khe"/>
    <s v="Tan"/>
    <x v="2"/>
    <s v="GOA11"/>
    <d v="2008-09-18T00:00:00"/>
    <s v="QLD Manufacturing"/>
    <x v="0"/>
    <x v="1"/>
    <x v="0"/>
    <x v="0"/>
    <x v="0"/>
    <x v="1"/>
    <x v="2"/>
    <x v="0"/>
    <x v="0"/>
    <x v="0"/>
    <x v="0"/>
    <n v="2676.8"/>
  </r>
  <r>
    <s v="P0900600"/>
    <x v="6"/>
    <s v="IGA09004"/>
    <x v="2"/>
    <x v="1"/>
    <s v="Process Condensate Stripping"/>
    <x v="5"/>
    <x v="0"/>
    <n v="347000"/>
    <n v="15117.19"/>
    <n v="4388.2"/>
    <n v="282721.09000000003"/>
    <n v="297838.28000000003"/>
    <s v="Venkat"/>
    <s v="Pattabathula"/>
    <x v="3"/>
    <s v="GOA01"/>
    <d v="2008-12-22T00:00:00"/>
    <s v="QLD Manufacturing"/>
    <x v="0"/>
    <x v="1"/>
    <x v="1"/>
    <x v="1"/>
    <x v="0"/>
    <x v="2"/>
    <x v="2"/>
    <x v="0"/>
    <x v="0"/>
    <x v="0"/>
    <x v="0"/>
    <n v="15117.19"/>
  </r>
  <r>
    <s v="P0900602"/>
    <x v="6"/>
    <s v="IGO09001"/>
    <x v="2"/>
    <x v="1"/>
    <s v="Stormwater Management Stage 2 Phase b"/>
    <x v="2"/>
    <x v="0"/>
    <n v="907498"/>
    <n v="-19316.75"/>
    <n v="-991.75"/>
    <n v="889205.13"/>
    <n v="869888.38"/>
    <s v="Peter"/>
    <s v="Vollert"/>
    <x v="3"/>
    <s v="GW001"/>
    <d v="2008-12-22T00:00:00"/>
    <s v="QLD Manufacturing"/>
    <x v="0"/>
    <x v="1"/>
    <x v="1"/>
    <x v="1"/>
    <x v="0"/>
    <x v="1"/>
    <x v="2"/>
    <x v="0"/>
    <x v="0"/>
    <x v="0"/>
    <x v="0"/>
    <n v="-991.75"/>
  </r>
  <r>
    <s v="P0900612"/>
    <x v="6"/>
    <s v="IGA09001"/>
    <x v="2"/>
    <x v="1"/>
    <s v="T301 Vacuum Protection Upgrade"/>
    <x v="2"/>
    <x v="0"/>
    <n v="659028"/>
    <n v="61001.32"/>
    <n v="0"/>
    <n v="413132.71"/>
    <n v="474134.03"/>
    <s v="Khe"/>
    <s v="Tan"/>
    <x v="3"/>
    <s v="GOA11"/>
    <d v="2009-03-02T00:00:00"/>
    <s v="QLD Manufacturing"/>
    <x v="0"/>
    <x v="1"/>
    <x v="1"/>
    <x v="1"/>
    <x v="0"/>
    <x v="1"/>
    <x v="2"/>
    <x v="0"/>
    <x v="0"/>
    <x v="0"/>
    <x v="0"/>
    <n v="32517.8"/>
  </r>
  <r>
    <s v="P0900613"/>
    <x v="6"/>
    <s v="IGA09007"/>
    <x v="2"/>
    <x v="2"/>
    <s v="Capital Spare - GI C604 Main Gas Compressor Motor"/>
    <x v="4"/>
    <x v="0"/>
    <n v="346900"/>
    <n v="40909.050000000003"/>
    <n v="3455.29"/>
    <n v="222297.91"/>
    <n v="263206.96000000002"/>
    <s v="Peter"/>
    <s v="Jones"/>
    <x v="3"/>
    <s v="GOA01"/>
    <d v="2009-03-02T00:00:00"/>
    <s v="QLD Manufacturing"/>
    <x v="0"/>
    <x v="1"/>
    <x v="1"/>
    <x v="1"/>
    <x v="0"/>
    <x v="1"/>
    <x v="2"/>
    <x v="0"/>
    <x v="0"/>
    <x v="0"/>
    <x v="0"/>
    <n v="35922.370000000003"/>
  </r>
  <r>
    <s v="P0900614"/>
    <x v="6"/>
    <s v="IGA09003"/>
    <x v="2"/>
    <x v="1"/>
    <s v="T301 WATER ADDITION"/>
    <x v="2"/>
    <x v="0"/>
    <n v="155000"/>
    <n v="39490.79"/>
    <n v="4301.2299999999996"/>
    <n v="205773.32"/>
    <n v="245264.11"/>
    <s v="Rolf"/>
    <s v="Vollert"/>
    <x v="3"/>
    <s v="GOA01"/>
    <d v="2009-03-02T00:00:00"/>
    <s v="QLD Manufacturing"/>
    <x v="0"/>
    <x v="1"/>
    <x v="1"/>
    <x v="1"/>
    <x v="0"/>
    <x v="1"/>
    <x v="2"/>
    <x v="0"/>
    <x v="0"/>
    <x v="0"/>
    <x v="0"/>
    <n v="10956.05"/>
  </r>
  <r>
    <s v="P0900633"/>
    <x v="6"/>
    <s v="IGA09010"/>
    <x v="2"/>
    <x v="1"/>
    <s v="Reinstate Two Cathodic Protection Systems"/>
    <x v="3"/>
    <x v="0"/>
    <n v="146000"/>
    <n v="9783.1299999999992"/>
    <n v="1756.26"/>
    <n v="89410.06"/>
    <n v="99193.19"/>
    <s v="Peter"/>
    <s v="Cleary"/>
    <x v="3"/>
    <s v="GOA01"/>
    <d v="2009-05-21T00:00:00"/>
    <s v="QLD Manufacturing"/>
    <x v="0"/>
    <x v="1"/>
    <x v="1"/>
    <x v="1"/>
    <x v="0"/>
    <x v="1"/>
    <x v="2"/>
    <x v="0"/>
    <x v="0"/>
    <x v="0"/>
    <x v="0"/>
    <n v="3389.76"/>
  </r>
  <r>
    <s v="P0900647"/>
    <x v="6"/>
    <s v="IGO09010"/>
    <x v="2"/>
    <x v="1"/>
    <s v="GI Site Fire Protection - Stage One Funding"/>
    <x v="2"/>
    <x v="0"/>
    <n v="269000"/>
    <n v="24142.5"/>
    <n v="1312.5"/>
    <n v="286327.02"/>
    <n v="310469.52"/>
    <s v="Craig"/>
    <s v="Ross"/>
    <x v="3"/>
    <s v="GW001"/>
    <d v="2009-06-24T00:00:00"/>
    <s v="QLD Manufacturing"/>
    <x v="0"/>
    <x v="1"/>
    <x v="1"/>
    <x v="1"/>
    <x v="0"/>
    <x v="1"/>
    <x v="2"/>
    <x v="0"/>
    <x v="0"/>
    <x v="0"/>
    <x v="0"/>
    <n v="12720"/>
  </r>
  <r>
    <s v="P0900648"/>
    <x v="6"/>
    <s v="IGO09003"/>
    <x v="2"/>
    <x v="1"/>
    <s v="Recycled Water Line from BCC"/>
    <x v="7"/>
    <x v="0"/>
    <n v="1763465"/>
    <n v="1020"/>
    <n v="0"/>
    <n v="276472.71999999997"/>
    <n v="277492.71999999997"/>
    <s v="Craig"/>
    <s v="Ross"/>
    <x v="3"/>
    <s v="GW001"/>
    <d v="2009-06-24T00:00:00"/>
    <s v="QLD Manufacturing"/>
    <x v="0"/>
    <x v="1"/>
    <x v="1"/>
    <x v="1"/>
    <x v="0"/>
    <x v="1"/>
    <x v="2"/>
    <x v="0"/>
    <x v="0"/>
    <x v="0"/>
    <x v="0"/>
    <n v="0"/>
  </r>
  <r>
    <s v="P0900649"/>
    <x v="6"/>
    <s v="IGO09005"/>
    <x v="2"/>
    <x v="1"/>
    <s v="Stage 3a Stormwater Management"/>
    <x v="2"/>
    <x v="0"/>
    <n v="450722"/>
    <n v="-8416.43"/>
    <n v="0"/>
    <n v="499853.61"/>
    <n v="491437.18"/>
    <s v="Peter"/>
    <s v="Vollert"/>
    <x v="3"/>
    <s v="GW001"/>
    <d v="2009-06-24T00:00:00"/>
    <s v="QLD Manufacturing"/>
    <x v="0"/>
    <x v="1"/>
    <x v="1"/>
    <x v="1"/>
    <x v="0"/>
    <x v="1"/>
    <x v="2"/>
    <x v="0"/>
    <x v="0"/>
    <x v="0"/>
    <x v="0"/>
    <n v="380"/>
  </r>
  <r>
    <s v="P0900676"/>
    <x v="2"/>
    <s v="SMI09021"/>
    <x v="1"/>
    <x v="1"/>
    <s v="Mt Isa Sulphur Bund Stage 1 Upgrade"/>
    <x v="3"/>
    <x v="0"/>
    <n v="186120"/>
    <n v="154"/>
    <n v="154"/>
    <n v="184583.87"/>
    <n v="184737.87"/>
    <s v="Brett"/>
    <s v="Landells"/>
    <x v="3"/>
    <s v="SMS01"/>
    <d v="2009-08-19T00:00:00"/>
    <s v="Mt Isa"/>
    <x v="0"/>
    <x v="1"/>
    <x v="1"/>
    <x v="1"/>
    <x v="0"/>
    <x v="1"/>
    <x v="2"/>
    <x v="0"/>
    <x v="0"/>
    <x v="0"/>
    <x v="0"/>
    <n v="154"/>
  </r>
  <r>
    <s v="P0900683"/>
    <x v="6"/>
    <s v="IGU09002"/>
    <x v="2"/>
    <x v="1"/>
    <s v="Replace E750 bank 5 tube bundle"/>
    <x v="3"/>
    <x v="0"/>
    <n v="426954"/>
    <n v="12287.12"/>
    <n v="0"/>
    <n v="386943.1"/>
    <n v="399230.22"/>
    <s v="Jordan"/>
    <s v="Blackmur"/>
    <x v="3"/>
    <s v="GOU01"/>
    <d v="2009-08-28T00:00:00"/>
    <s v="QLD Manufacturing"/>
    <x v="0"/>
    <x v="1"/>
    <x v="1"/>
    <x v="1"/>
    <x v="0"/>
    <x v="1"/>
    <x v="2"/>
    <x v="0"/>
    <x v="0"/>
    <x v="0"/>
    <x v="0"/>
    <n v="0"/>
  </r>
  <r>
    <s v="P0900684"/>
    <x v="6"/>
    <s v="IGO09004.140"/>
    <x v="2"/>
    <x v="1"/>
    <s v="CEP GI PDC Bagshed Dust Reduction"/>
    <x v="2"/>
    <x v="0"/>
    <n v="15869"/>
    <n v="15869"/>
    <n v="0"/>
    <n v="0"/>
    <n v="15869"/>
    <s v="Andy"/>
    <s v="Roscher"/>
    <x v="3"/>
    <s v="GD003"/>
    <d v="2009-09-01T00:00:00"/>
    <s v="QLD Manufacturing"/>
    <x v="0"/>
    <x v="1"/>
    <x v="0"/>
    <x v="0"/>
    <x v="0"/>
    <x v="1"/>
    <x v="2"/>
    <x v="0"/>
    <x v="0"/>
    <x v="0"/>
    <x v="0"/>
    <n v="15869"/>
  </r>
  <r>
    <s v="P0900691"/>
    <x v="7"/>
    <s v="IPM09001"/>
    <x v="4"/>
    <x v="1"/>
    <s v="Den Tunnel Duct Replacement"/>
    <x v="3"/>
    <x v="0"/>
    <n v="96000"/>
    <n v="39458.33"/>
    <n v="0"/>
    <n v="54241.5"/>
    <n v="93699.83"/>
    <s v="Karl"/>
    <s v="Nowakowski"/>
    <x v="3"/>
    <s v="PTS01"/>
    <d v="2009-09-07T00:00:00"/>
    <s v="Portland Manufacturing"/>
    <x v="2"/>
    <x v="1"/>
    <x v="1"/>
    <x v="1"/>
    <x v="0"/>
    <x v="2"/>
    <x v="2"/>
    <x v="0"/>
    <x v="0"/>
    <x v="0"/>
    <x v="0"/>
    <n v="35550"/>
  </r>
  <r>
    <s v="P0900695"/>
    <x v="6"/>
    <s v="IGO09004.190"/>
    <x v="2"/>
    <x v="1"/>
    <s v="CEP GI PDC Bld 137 Roof Upgrade"/>
    <x v="2"/>
    <x v="0"/>
    <n v="2000"/>
    <n v="1990"/>
    <n v="0"/>
    <n v="0"/>
    <n v="1990"/>
    <s v="Andy"/>
    <s v="Roscher"/>
    <x v="3"/>
    <s v="GD012"/>
    <d v="2009-09-17T00:00:00"/>
    <s v="QLD Manufacturing"/>
    <x v="0"/>
    <x v="1"/>
    <x v="0"/>
    <x v="0"/>
    <x v="0"/>
    <x v="1"/>
    <x v="2"/>
    <x v="0"/>
    <x v="0"/>
    <x v="0"/>
    <x v="0"/>
    <n v="0"/>
  </r>
  <r>
    <s v="P0900698"/>
    <x v="2"/>
    <s v="SMI09008"/>
    <x v="1"/>
    <x v="1"/>
    <s v="Trial - Install Baldwin SO3 removal System"/>
    <x v="2"/>
    <x v="0"/>
    <n v="32000"/>
    <n v="1404"/>
    <n v="0"/>
    <n v="26429.91"/>
    <n v="27833.91"/>
    <s v="Rehne"/>
    <s v="Andersen"/>
    <x v="3"/>
    <s v="SMS01"/>
    <d v="2009-09-18T00:00:00"/>
    <s v="Mt Isa"/>
    <x v="0"/>
    <x v="1"/>
    <x v="1"/>
    <x v="1"/>
    <x v="0"/>
    <x v="1"/>
    <x v="2"/>
    <x v="0"/>
    <x v="0"/>
    <x v="0"/>
    <x v="0"/>
    <n v="0"/>
  </r>
  <r>
    <s v="P1000723"/>
    <x v="6"/>
    <s v="IGO09012"/>
    <x v="2"/>
    <x v="3"/>
    <s v="Phase 2 DYNO NOBEL RELOCATION"/>
    <x v="7"/>
    <x v="0"/>
    <n v="4276983"/>
    <n v="318867.78000000003"/>
    <n v="4481.1000000000004"/>
    <n v="3207816.79"/>
    <n v="3526684.57"/>
    <s v="Anthony"/>
    <s v="Galloway"/>
    <x v="5"/>
    <s v="GW001"/>
    <d v="2009-11-10T00:00:00"/>
    <s v="QLD Manufacturing"/>
    <x v="0"/>
    <x v="1"/>
    <x v="4"/>
    <x v="4"/>
    <x v="0"/>
    <x v="1"/>
    <x v="2"/>
    <x v="0"/>
    <x v="0"/>
    <x v="2"/>
    <x v="0"/>
    <n v="259948.89"/>
  </r>
  <r>
    <s v="P1000734"/>
    <x v="2"/>
    <s v="SPO10001.30"/>
    <x v="1"/>
    <x v="1"/>
    <s v="Training room PC DVD  DP &amp; aircon installation"/>
    <x v="5"/>
    <x v="0"/>
    <n v="3850"/>
    <n v="3907.28"/>
    <n v="0"/>
    <n v="0"/>
    <n v="3907.28"/>
    <s v="Jon"/>
    <s v="Collins"/>
    <x v="5"/>
    <s v="SMS01"/>
    <d v="2009-11-18T00:00:00"/>
    <s v="Mt Isa"/>
    <x v="0"/>
    <x v="1"/>
    <x v="0"/>
    <x v="0"/>
    <x v="0"/>
    <x v="1"/>
    <x v="2"/>
    <x v="0"/>
    <x v="0"/>
    <x v="0"/>
    <x v="0"/>
    <n v="0"/>
  </r>
  <r>
    <s v="P1000736"/>
    <x v="1"/>
    <s v="SPP10004"/>
    <x v="1"/>
    <x v="1"/>
    <s v="HV Tier 2019 Installation"/>
    <x v="6"/>
    <x v="0"/>
    <n v="60000"/>
    <n v="924"/>
    <n v="0"/>
    <n v="36905.47"/>
    <n v="37829.47"/>
    <s v="Andrew"/>
    <s v="Cantamessa"/>
    <x v="5"/>
    <s v="SPP02"/>
    <d v="2009-11-19T00:00:00"/>
    <s v="Phos Hill Manufacturing"/>
    <x v="0"/>
    <x v="1"/>
    <x v="1"/>
    <x v="1"/>
    <x v="0"/>
    <x v="1"/>
    <x v="2"/>
    <x v="0"/>
    <x v="2"/>
    <x v="0"/>
    <x v="0"/>
    <n v="654"/>
  </r>
  <r>
    <s v="P1000758"/>
    <x v="6"/>
    <s v="IGU10001"/>
    <x v="2"/>
    <x v="1"/>
    <s v="SCR Urea Storage Upgrade"/>
    <x v="2"/>
    <x v="0"/>
    <n v="566592"/>
    <n v="365"/>
    <n v="0"/>
    <n v="565799.6"/>
    <n v="566164.6"/>
    <s v="Khe"/>
    <s v="Tan"/>
    <x v="5"/>
    <s v="GOU01"/>
    <d v="2009-12-02T00:00:00"/>
    <s v="QLD Manufacturing"/>
    <x v="0"/>
    <x v="1"/>
    <x v="1"/>
    <x v="1"/>
    <x v="0"/>
    <x v="2"/>
    <x v="2"/>
    <x v="0"/>
    <x v="0"/>
    <x v="0"/>
    <x v="0"/>
    <n v="0"/>
  </r>
  <r>
    <s v="P1000761"/>
    <x v="8"/>
    <s v="IKI10006"/>
    <x v="5"/>
    <x v="4"/>
    <s v="KI Stage 2  continuation upgrade of Shed 2"/>
    <x v="2"/>
    <x v="0"/>
    <n v="1000000"/>
    <n v="31512.73"/>
    <n v="0"/>
    <n v="1068030.46"/>
    <n v="1099543.19"/>
    <s v="Lee"/>
    <s v="Appleby"/>
    <x v="5"/>
    <s v="NFD10"/>
    <d v="2009-12-04T00:00:00"/>
    <s v="Manufacturing KI"/>
    <x v="3"/>
    <x v="1"/>
    <x v="0"/>
    <x v="0"/>
    <x v="0"/>
    <x v="2"/>
    <x v="2"/>
    <x v="0"/>
    <x v="0"/>
    <x v="0"/>
    <x v="0"/>
    <n v="-7131"/>
  </r>
  <r>
    <s v="P1000763"/>
    <x v="7"/>
    <s v="INO10005"/>
    <x v="3"/>
    <x v="4"/>
    <s v="AR(C) Cairns - Unit1 Electrical Upgrade: Stage 1"/>
    <x v="2"/>
    <x v="0"/>
    <n v="1196510"/>
    <n v="157384.85999999999"/>
    <n v="89723.37"/>
    <n v="939216.35"/>
    <n v="1096601.21"/>
    <s v="Paul"/>
    <s v="Rylewski"/>
    <x v="5"/>
    <s v="FWC11"/>
    <d v="2009-12-04T00:00:00"/>
    <s v="Distribution Northern - Q"/>
    <x v="0"/>
    <x v="1"/>
    <x v="1"/>
    <x v="1"/>
    <x v="0"/>
    <x v="1"/>
    <x v="2"/>
    <x v="0"/>
    <x v="0"/>
    <x v="0"/>
    <x v="0"/>
    <n v="144022.18"/>
  </r>
  <r>
    <s v="P1000787"/>
    <x v="1"/>
    <s v="SPO09001"/>
    <x v="1"/>
    <x v="1"/>
    <s v="Monument Village Sewage Pond Bypass"/>
    <x v="2"/>
    <x v="0"/>
    <n v="198600"/>
    <n v="13854.89"/>
    <n v="0"/>
    <n v="185261.06"/>
    <n v="199115.95"/>
    <s v="Nick"/>
    <s v="Spargo"/>
    <x v="5"/>
    <s v="SPZ02"/>
    <d v="2009-12-17T00:00:00"/>
    <s v="Phos Hill Manufacturing"/>
    <x v="0"/>
    <x v="1"/>
    <x v="1"/>
    <x v="1"/>
    <x v="0"/>
    <x v="2"/>
    <x v="2"/>
    <x v="0"/>
    <x v="0"/>
    <x v="0"/>
    <x v="0"/>
    <n v="0"/>
  </r>
  <r>
    <s v="P1000791"/>
    <x v="6"/>
    <s v="IGO10008"/>
    <x v="2"/>
    <x v="1"/>
    <s v="Purchase of Ammonia Leak Detection Camera"/>
    <x v="2"/>
    <x v="0"/>
    <n v="150000"/>
    <n v="146951"/>
    <n v="0"/>
    <n v="0"/>
    <n v="146951"/>
    <s v="Grant"/>
    <s v="Lawler"/>
    <x v="5"/>
    <s v="GW001"/>
    <d v="2009-12-18T00:00:00"/>
    <s v="QLD Manufacturing"/>
    <x v="0"/>
    <x v="1"/>
    <x v="1"/>
    <x v="1"/>
    <x v="0"/>
    <x v="1"/>
    <x v="2"/>
    <x v="0"/>
    <x v="0"/>
    <x v="0"/>
    <x v="0"/>
    <n v="146951"/>
  </r>
  <r>
    <s v="P1000795"/>
    <x v="6"/>
    <s v="IGO09010"/>
    <x v="2"/>
    <x v="1"/>
    <s v="GI Site Fire Protection - Stage Two Funding"/>
    <x v="2"/>
    <x v="0"/>
    <n v="354379"/>
    <n v="204489.08"/>
    <n v="56511.76"/>
    <n v="184461.24"/>
    <n v="388950.32"/>
    <s v="Craig"/>
    <s v="Ross"/>
    <x v="5"/>
    <s v="GW001"/>
    <d v="2009-12-19T00:00:00"/>
    <s v="QLD Manufacturing"/>
    <x v="0"/>
    <x v="1"/>
    <x v="1"/>
    <x v="1"/>
    <x v="0"/>
    <x v="1"/>
    <x v="2"/>
    <x v="0"/>
    <x v="0"/>
    <x v="0"/>
    <x v="0"/>
    <n v="94224.34"/>
  </r>
  <r>
    <s v="P1000796"/>
    <x v="6"/>
    <s v="IGO09010"/>
    <x v="2"/>
    <x v="1"/>
    <s v="GI Site Fire Protection -Refurbishment"/>
    <x v="2"/>
    <x v="0"/>
    <n v="472742"/>
    <n v="6208"/>
    <n v="5940"/>
    <n v="541902.15"/>
    <n v="548110.15"/>
    <s v="Craig"/>
    <s v="Ross"/>
    <x v="5"/>
    <s v="GW001"/>
    <d v="2009-12-19T00:00:00"/>
    <s v="QLD Manufacturing"/>
    <x v="0"/>
    <x v="1"/>
    <x v="1"/>
    <x v="1"/>
    <x v="0"/>
    <x v="1"/>
    <x v="2"/>
    <x v="0"/>
    <x v="0"/>
    <x v="0"/>
    <x v="0"/>
    <n v="5940"/>
  </r>
  <r>
    <s v="P1000797"/>
    <x v="6"/>
    <s v="IGO10007"/>
    <x v="2"/>
    <x v="2"/>
    <s v="2011 GI Shutdown Preparation"/>
    <x v="3"/>
    <x v="0"/>
    <n v="20432000"/>
    <n v="23113215.530000001"/>
    <n v="14686280.720000001"/>
    <n v="4523720.29"/>
    <n v="27636935.82"/>
    <s v="Dan"/>
    <s v="Miller"/>
    <x v="5"/>
    <s v="GOA01"/>
    <d v="2009-12-21T00:00:00"/>
    <s v="QLD Manufacturing"/>
    <x v="0"/>
    <x v="1"/>
    <x v="5"/>
    <x v="5"/>
    <x v="0"/>
    <x v="1"/>
    <x v="2"/>
    <x v="0"/>
    <x v="0"/>
    <x v="2"/>
    <x v="0"/>
    <n v="19931856.260000002"/>
  </r>
  <r>
    <s v="P1000799"/>
    <x v="6"/>
    <s v="IGI10001"/>
    <x v="2"/>
    <x v="1"/>
    <s v="IBC Dust Venturi Scrubber"/>
    <x v="2"/>
    <x v="0"/>
    <n v="298524"/>
    <n v="39714.370000000003"/>
    <n v="0"/>
    <n v="251272.95999999999"/>
    <n v="290987.33"/>
    <s v="Khe"/>
    <s v="Tan"/>
    <x v="5"/>
    <s v="GD007"/>
    <d v="2009-12-22T00:00:00"/>
    <s v="QLD Manufacturing"/>
    <x v="0"/>
    <x v="1"/>
    <x v="1"/>
    <x v="1"/>
    <x v="0"/>
    <x v="1"/>
    <x v="2"/>
    <x v="0"/>
    <x v="0"/>
    <x v="0"/>
    <x v="0"/>
    <n v="18855.91"/>
  </r>
  <r>
    <s v="P1000803"/>
    <x v="6"/>
    <s v="IGO10002"/>
    <x v="2"/>
    <x v="1"/>
    <s v="Stormwater Management Stage 3 Part B"/>
    <x v="2"/>
    <x v="0"/>
    <n v="1343383"/>
    <n v="345328.46"/>
    <n v="-2965"/>
    <n v="814256.98"/>
    <n v="1159585.44"/>
    <s v="Peter"/>
    <s v="Vollert"/>
    <x v="5"/>
    <s v="GW001"/>
    <d v="2009-12-23T00:00:00"/>
    <s v="QLD Manufacturing"/>
    <x v="0"/>
    <x v="1"/>
    <x v="6"/>
    <x v="6"/>
    <x v="0"/>
    <x v="1"/>
    <x v="2"/>
    <x v="0"/>
    <x v="0"/>
    <x v="0"/>
    <x v="0"/>
    <n v="5587.3"/>
  </r>
  <r>
    <s v="P1000820"/>
    <x v="7"/>
    <s v="IGE10006"/>
    <x v="6"/>
    <x v="1"/>
    <s v="GEMC10-002 Rel Acid Loading Bay Mass Flow Meter"/>
    <x v="1"/>
    <x v="0"/>
    <n v="29366"/>
    <n v="4100"/>
    <n v="400"/>
    <n v="6492"/>
    <n v="10592"/>
    <s v="Steve"/>
    <s v="Agiejew"/>
    <x v="5"/>
    <s v="GES03"/>
    <d v="2010-02-01T00:00:00"/>
    <s v="Geelong Manufacturing"/>
    <x v="2"/>
    <x v="1"/>
    <x v="1"/>
    <x v="1"/>
    <x v="0"/>
    <x v="1"/>
    <x v="2"/>
    <x v="0"/>
    <x v="0"/>
    <x v="0"/>
    <x v="0"/>
    <n v="4100"/>
  </r>
  <r>
    <s v="P1000831"/>
    <x v="7"/>
    <s v="ISO10003.20"/>
    <x v="7"/>
    <x v="1"/>
    <s v="Old despatch office upgrade"/>
    <x v="3"/>
    <x v="0"/>
    <n v="45000"/>
    <n v="117.27"/>
    <n v="0"/>
    <n v="42257.8"/>
    <n v="42375.07"/>
    <s v="Roger"/>
    <s v="Heenan"/>
    <x v="5"/>
    <s v="FWX06"/>
    <d v="2010-02-08T00:00:00"/>
    <s v="Distribution Southern - S"/>
    <x v="4"/>
    <x v="1"/>
    <x v="0"/>
    <x v="0"/>
    <x v="0"/>
    <x v="2"/>
    <x v="2"/>
    <x v="0"/>
    <x v="0"/>
    <x v="0"/>
    <x v="0"/>
    <n v="0"/>
  </r>
  <r>
    <s v="P1000843"/>
    <x v="3"/>
    <s v="IFI10007"/>
    <x v="8"/>
    <x v="1"/>
    <s v="Cable to Cat 6 GI Admin B101 and B100"/>
    <x v="8"/>
    <x v="0"/>
    <n v="49000"/>
    <n v="1845.4"/>
    <n v="0"/>
    <n v="15978"/>
    <n v="17823.400000000001"/>
    <s v="Fiona"/>
    <s v="Foley"/>
    <x v="5"/>
    <s v="ZI005"/>
    <d v="2010-02-16T00:00:00"/>
    <s v="IT"/>
    <x v="2"/>
    <x v="1"/>
    <x v="1"/>
    <x v="1"/>
    <x v="0"/>
    <x v="1"/>
    <x v="2"/>
    <x v="0"/>
    <x v="0"/>
    <x v="0"/>
    <x v="0"/>
    <n v="0"/>
  </r>
  <r>
    <s v="P1000852"/>
    <x v="6"/>
    <s v="IGU10002"/>
    <x v="2"/>
    <x v="1"/>
    <s v="Replace E750 Banks 1 2 3 4 6 and 8 Tube Bundles"/>
    <x v="2"/>
    <x v="0"/>
    <n v="1969562"/>
    <n v="222182.15"/>
    <n v="0"/>
    <n v="950371.93"/>
    <n v="1172554.08"/>
    <s v="David"/>
    <s v="Rowbottom"/>
    <x v="5"/>
    <s v="GOU01"/>
    <d v="2010-02-22T00:00:00"/>
    <s v="QLD Manufacturing"/>
    <x v="0"/>
    <x v="1"/>
    <x v="1"/>
    <x v="1"/>
    <x v="0"/>
    <x v="1"/>
    <x v="2"/>
    <x v="0"/>
    <x v="0"/>
    <x v="0"/>
    <x v="0"/>
    <n v="85705.87"/>
  </r>
  <r>
    <s v="P1000872"/>
    <x v="1"/>
    <s v="SPO10013"/>
    <x v="1"/>
    <x v="1"/>
    <s v="Phosphate Hill UPS Replacements"/>
    <x v="3"/>
    <x v="0"/>
    <n v="100000"/>
    <n v="9447.5"/>
    <n v="8251.3700000000008"/>
    <n v="15361.25"/>
    <n v="24808.75"/>
    <s v="Hugh"/>
    <s v="Ly"/>
    <x v="5"/>
    <s v="SPL04"/>
    <d v="2010-03-08T00:00:00"/>
    <s v="Phos Hill Manufacturing"/>
    <x v="0"/>
    <x v="1"/>
    <x v="1"/>
    <x v="1"/>
    <x v="0"/>
    <x v="1"/>
    <x v="2"/>
    <x v="0"/>
    <x v="0"/>
    <x v="0"/>
    <x v="0"/>
    <n v="9132.5"/>
  </r>
  <r>
    <s v="P1000877"/>
    <x v="7"/>
    <s v="IPM10004"/>
    <x v="4"/>
    <x v="4"/>
    <s v="Roofing replacement  Despatch and Workshop Roof."/>
    <x v="5"/>
    <x v="0"/>
    <n v="242000"/>
    <n v="235.96"/>
    <n v="151.08000000000001"/>
    <n v="228383.32"/>
    <n v="228619.28"/>
    <s v="Karl"/>
    <s v="Nowakowski"/>
    <x v="5"/>
    <s v="FWP01"/>
    <d v="2010-03-08T00:00:00"/>
    <s v="Portland PDC"/>
    <x v="2"/>
    <x v="1"/>
    <x v="0"/>
    <x v="0"/>
    <x v="0"/>
    <x v="2"/>
    <x v="2"/>
    <x v="0"/>
    <x v="0"/>
    <x v="0"/>
    <x v="0"/>
    <n v="235.96"/>
  </r>
  <r>
    <s v="P1000884"/>
    <x v="6"/>
    <s v="IGO10001.190"/>
    <x v="2"/>
    <x v="1"/>
    <s v="E750 Bank 7 De-bottleneck"/>
    <x v="3"/>
    <x v="0"/>
    <n v="43256"/>
    <n v="880"/>
    <n v="0"/>
    <n v="34619.699999999997"/>
    <n v="35499.699999999997"/>
    <s v="Stephen"/>
    <s v="Maule"/>
    <x v="5"/>
    <s v="GOU01"/>
    <d v="2010-03-11T00:00:00"/>
    <s v="QLD Manufacturing"/>
    <x v="0"/>
    <x v="1"/>
    <x v="1"/>
    <x v="1"/>
    <x v="0"/>
    <x v="1"/>
    <x v="2"/>
    <x v="0"/>
    <x v="0"/>
    <x v="0"/>
    <x v="0"/>
    <n v="0"/>
  </r>
  <r>
    <s v="P1000886"/>
    <x v="9"/>
    <s v="IGO10001.170"/>
    <x v="2"/>
    <x v="1"/>
    <s v="Pinkenba PDC Stormwater Monitoring"/>
    <x v="2"/>
    <x v="0"/>
    <n v="37980"/>
    <n v="6842.72"/>
    <n v="0"/>
    <n v="32283.26"/>
    <n v="39125.980000000003"/>
    <s v="Steven"/>
    <s v="Ling"/>
    <x v="5"/>
    <s v="PW002"/>
    <d v="2010-03-11T00:00:00"/>
    <s v="Pinkenba PDC"/>
    <x v="0"/>
    <x v="1"/>
    <x v="1"/>
    <x v="1"/>
    <x v="0"/>
    <x v="1"/>
    <x v="2"/>
    <x v="0"/>
    <x v="0"/>
    <x v="0"/>
    <x v="0"/>
    <n v="0"/>
  </r>
  <r>
    <s v="P1000903"/>
    <x v="6"/>
    <s v="IGA10003"/>
    <x v="2"/>
    <x v="2"/>
    <s v="GIW Ammonia Plant Uprate Project"/>
    <x v="6"/>
    <x v="0"/>
    <n v="2750973"/>
    <n v="1380205.74"/>
    <n v="591019.02"/>
    <n v="539712.02"/>
    <n v="1919917.76"/>
    <s v="David"/>
    <s v="Rowbottom"/>
    <x v="5"/>
    <s v="GOA01"/>
    <d v="2010-03-18T00:00:00"/>
    <s v="QLD Manufacturing"/>
    <x v="0"/>
    <x v="1"/>
    <x v="1"/>
    <x v="1"/>
    <x v="0"/>
    <x v="1"/>
    <x v="2"/>
    <x v="0"/>
    <x v="2"/>
    <x v="2"/>
    <x v="0"/>
    <n v="1253527.9099999999"/>
  </r>
  <r>
    <s v="P1000905"/>
    <x v="6"/>
    <s v="IGU10003"/>
    <x v="2"/>
    <x v="2"/>
    <s v="E727 Replacement"/>
    <x v="5"/>
    <x v="0"/>
    <n v="870067"/>
    <n v="56467.62"/>
    <n v="1747.2"/>
    <n v="96671.1"/>
    <n v="153138.72"/>
    <s v="Craig"/>
    <s v="Ross"/>
    <x v="5"/>
    <s v="GOU01"/>
    <d v="2010-03-18T00:00:00"/>
    <s v="QLD Manufacturing"/>
    <x v="0"/>
    <x v="1"/>
    <x v="1"/>
    <x v="1"/>
    <x v="0"/>
    <x v="1"/>
    <x v="2"/>
    <x v="0"/>
    <x v="0"/>
    <x v="0"/>
    <x v="0"/>
    <n v="39026.28"/>
  </r>
  <r>
    <s v="P1000906"/>
    <x v="9"/>
    <s v="IPI10002"/>
    <x v="2"/>
    <x v="1"/>
    <s v="Upgrade of No 4 Sulphuric Acid Tank - Pinkenba"/>
    <x v="3"/>
    <x v="0"/>
    <n v="1400167"/>
    <n v="403064.38"/>
    <n v="1.44"/>
    <n v="851108.12"/>
    <n v="1254172.5"/>
    <s v="Craig"/>
    <s v="Ross"/>
    <x v="5"/>
    <s v="PDD09"/>
    <d v="2010-03-18T00:00:00"/>
    <s v="Pinkenba PDC"/>
    <x v="0"/>
    <x v="1"/>
    <x v="1"/>
    <x v="1"/>
    <x v="0"/>
    <x v="1"/>
    <x v="2"/>
    <x v="0"/>
    <x v="0"/>
    <x v="0"/>
    <x v="0"/>
    <n v="6487.4"/>
  </r>
  <r>
    <s v="P1000907"/>
    <x v="6"/>
    <s v="IGA10005"/>
    <x v="2"/>
    <x v="1"/>
    <s v="T301 Refrigeration Upgrade -Supplementary CEP"/>
    <x v="5"/>
    <x v="0"/>
    <n v="524743"/>
    <n v="15263.89"/>
    <n v="0"/>
    <n v="475731.20000000001"/>
    <n v="490995.09"/>
    <s v="Craig"/>
    <s v="Ross"/>
    <x v="5"/>
    <s v="GOA11"/>
    <d v="2010-03-18T00:00:00"/>
    <s v="QLD Manufacturing"/>
    <x v="0"/>
    <x v="1"/>
    <x v="1"/>
    <x v="1"/>
    <x v="0"/>
    <x v="1"/>
    <x v="2"/>
    <x v="0"/>
    <x v="0"/>
    <x v="0"/>
    <x v="0"/>
    <n v="3592.5"/>
  </r>
  <r>
    <s v="P1000909"/>
    <x v="6"/>
    <s v="IGA10004"/>
    <x v="2"/>
    <x v="1"/>
    <s v="GG4 Engine S/N 675220 Overhaul"/>
    <x v="3"/>
    <x v="0"/>
    <n v="900000"/>
    <n v="18414.88"/>
    <n v="0"/>
    <n v="763416.6"/>
    <n v="781831.48"/>
    <s v="Steve"/>
    <s v="Badman"/>
    <x v="5"/>
    <s v="GOA01"/>
    <d v="2010-03-18T00:00:00"/>
    <s v="QLD Manufacturing"/>
    <x v="0"/>
    <x v="1"/>
    <x v="1"/>
    <x v="1"/>
    <x v="0"/>
    <x v="1"/>
    <x v="2"/>
    <x v="0"/>
    <x v="0"/>
    <x v="0"/>
    <x v="0"/>
    <n v="49822.79"/>
  </r>
  <r>
    <s v="P1000914"/>
    <x v="7"/>
    <s v="INO10007"/>
    <x v="3"/>
    <x v="1"/>
    <s v="Fork lift Self Tipping Bin"/>
    <x v="2"/>
    <x v="0"/>
    <n v="0"/>
    <n v="2196"/>
    <n v="0"/>
    <n v="0"/>
    <n v="2196"/>
    <s v="Robert"/>
    <s v="Bowden"/>
    <x v="5"/>
    <s v="FWT06"/>
    <d v="2010-03-25T00:00:00"/>
    <s v="Townsville PDC"/>
    <x v="0"/>
    <x v="1"/>
    <x v="1"/>
    <x v="1"/>
    <x v="0"/>
    <x v="2"/>
    <x v="2"/>
    <x v="0"/>
    <x v="0"/>
    <x v="0"/>
    <x v="0"/>
    <n v="2196"/>
  </r>
  <r>
    <s v="P1000918"/>
    <x v="7"/>
    <s v="INO10008"/>
    <x v="3"/>
    <x v="1"/>
    <s v="Front end loader squeegee attachment"/>
    <x v="2"/>
    <x v="0"/>
    <n v="2100"/>
    <n v="-216"/>
    <n v="0"/>
    <n v="2196"/>
    <n v="1980"/>
    <s v="Robert"/>
    <s v="Bowden"/>
    <x v="5"/>
    <s v="FWT06"/>
    <d v="2010-03-25T00:00:00"/>
    <s v="Townsville PDC"/>
    <x v="0"/>
    <x v="1"/>
    <x v="1"/>
    <x v="1"/>
    <x v="0"/>
    <x v="2"/>
    <x v="2"/>
    <x v="0"/>
    <x v="0"/>
    <x v="0"/>
    <x v="0"/>
    <n v="-2196"/>
  </r>
  <r>
    <s v="P1000934"/>
    <x v="6"/>
    <s v="IGO10001.200"/>
    <x v="2"/>
    <x v="1"/>
    <s v="C902 Level Measurement"/>
    <x v="2"/>
    <x v="0"/>
    <n v="10145"/>
    <n v="2545.7199999999998"/>
    <n v="0"/>
    <n v="5118.92"/>
    <n v="7664.64"/>
    <s v="Kane"/>
    <s v="Ivers"/>
    <x v="5"/>
    <s v="GOC01"/>
    <d v="2010-04-08T00:00:00"/>
    <s v="QLD Manufacturing"/>
    <x v="0"/>
    <x v="1"/>
    <x v="1"/>
    <x v="1"/>
    <x v="0"/>
    <x v="1"/>
    <x v="2"/>
    <x v="0"/>
    <x v="0"/>
    <x v="0"/>
    <x v="0"/>
    <n v="106.98"/>
  </r>
  <r>
    <s v="P1000941"/>
    <x v="7"/>
    <s v="INO10009"/>
    <x v="3"/>
    <x v="4"/>
    <s v="AR (C) Phase 1 Townsville PDC Redevelopment"/>
    <x v="5"/>
    <x v="0"/>
    <n v="765209"/>
    <n v="3903.5"/>
    <n v="0"/>
    <n v="793126.24"/>
    <n v="797029.74"/>
    <s v="Bruce"/>
    <s v="King"/>
    <x v="5"/>
    <s v="FWT00"/>
    <d v="2010-04-12T00:00:00"/>
    <s v="Townsville PDC"/>
    <x v="0"/>
    <x v="1"/>
    <x v="0"/>
    <x v="0"/>
    <x v="0"/>
    <x v="2"/>
    <x v="2"/>
    <x v="0"/>
    <x v="0"/>
    <x v="0"/>
    <x v="0"/>
    <n v="0"/>
  </r>
  <r>
    <s v="P1000943"/>
    <x v="7"/>
    <s v="IGP10003"/>
    <x v="6"/>
    <x v="1"/>
    <s v="GE0122 Weigh Feeders Control and PLC Upgrade"/>
    <x v="1"/>
    <x v="0"/>
    <n v="315368"/>
    <n v="11995"/>
    <n v="-244.5"/>
    <n v="279959.7"/>
    <n v="291954.7"/>
    <s v="Steve"/>
    <s v="Agiejew"/>
    <x v="5"/>
    <s v="FWL09"/>
    <d v="2010-04-12T00:00:00"/>
    <s v="Geelong PDC"/>
    <x v="2"/>
    <x v="1"/>
    <x v="1"/>
    <x v="1"/>
    <x v="0"/>
    <x v="2"/>
    <x v="2"/>
    <x v="0"/>
    <x v="0"/>
    <x v="0"/>
    <x v="0"/>
    <n v="-94.5"/>
  </r>
  <r>
    <s v="P1000944"/>
    <x v="1"/>
    <s v="SPO10015"/>
    <x v="1"/>
    <x v="1"/>
    <s v="Phosphate Hill Replacement Ambulance"/>
    <x v="5"/>
    <x v="0"/>
    <n v="135000"/>
    <n v="1117.0999999999999"/>
    <n v="0"/>
    <n v="131272.22"/>
    <n v="132389.32"/>
    <s v="Mark"/>
    <s v="Nash"/>
    <x v="5"/>
    <s v="SPZ07"/>
    <d v="2010-04-12T00:00:00"/>
    <s v="Phos Hill Manufacturing"/>
    <x v="0"/>
    <x v="1"/>
    <x v="1"/>
    <x v="1"/>
    <x v="0"/>
    <x v="1"/>
    <x v="2"/>
    <x v="0"/>
    <x v="0"/>
    <x v="0"/>
    <x v="0"/>
    <n v="0"/>
  </r>
  <r>
    <s v="P1000955"/>
    <x v="1"/>
    <s v="SPO10002"/>
    <x v="1"/>
    <x v="1"/>
    <s v="Monument Village Refurbishment (Phosphate Hill)"/>
    <x v="3"/>
    <x v="0"/>
    <n v="4900000"/>
    <n v="690337.87"/>
    <n v="9126.2099999999991"/>
    <n v="4178196.53"/>
    <n v="4868534.4000000004"/>
    <s v="Mark"/>
    <s v="Nash"/>
    <x v="5"/>
    <s v="SPZ02"/>
    <d v="2010-04-12T00:00:00"/>
    <s v="Phos Hill Manufacturing"/>
    <x v="0"/>
    <x v="1"/>
    <x v="7"/>
    <x v="7"/>
    <x v="0"/>
    <x v="1"/>
    <x v="2"/>
    <x v="0"/>
    <x v="0"/>
    <x v="2"/>
    <x v="0"/>
    <n v="71431.92"/>
  </r>
  <r>
    <s v="P1000965"/>
    <x v="6"/>
    <s v="IGO10009"/>
    <x v="2"/>
    <x v="2"/>
    <s v="GIW R601 Cat Tube and Outlet Header Upgrade SD2011"/>
    <x v="6"/>
    <x v="0"/>
    <n v="6402390"/>
    <n v="2921371.34"/>
    <n v="2422272.79"/>
    <n v="304283.46000000002"/>
    <n v="3225654.8"/>
    <s v="David"/>
    <s v="Rowbottom"/>
    <x v="5"/>
    <s v="GOA01"/>
    <d v="2010-04-20T00:00:00"/>
    <s v="QLD Manufacturing"/>
    <x v="0"/>
    <x v="1"/>
    <x v="1"/>
    <x v="1"/>
    <x v="0"/>
    <x v="1"/>
    <x v="2"/>
    <x v="0"/>
    <x v="2"/>
    <x v="2"/>
    <x v="0"/>
    <n v="2829419.37"/>
  </r>
  <r>
    <s v="P1000985"/>
    <x v="8"/>
    <s v="IKI10012"/>
    <x v="5"/>
    <x v="1"/>
    <s v="KI Slat Conveyor Upgrade"/>
    <x v="2"/>
    <x v="0"/>
    <n v="194766"/>
    <n v="7392"/>
    <n v="0"/>
    <n v="172265.2"/>
    <n v="179657.2"/>
    <s v="Lee"/>
    <s v="Appleby"/>
    <x v="5"/>
    <s v="NFD10"/>
    <d v="2010-05-07T00:00:00"/>
    <s v="Kooragang Island PDC"/>
    <x v="3"/>
    <x v="1"/>
    <x v="1"/>
    <x v="1"/>
    <x v="0"/>
    <x v="1"/>
    <x v="2"/>
    <x v="0"/>
    <x v="0"/>
    <x v="0"/>
    <x v="0"/>
    <n v="0"/>
  </r>
  <r>
    <s v="P1000986"/>
    <x v="8"/>
    <s v="IKI10011"/>
    <x v="5"/>
    <x v="1"/>
    <s v="KI Replace roof on safety office block"/>
    <x v="2"/>
    <x v="0"/>
    <n v="98428"/>
    <n v="37180.300000000003"/>
    <n v="0"/>
    <n v="59660"/>
    <n v="96840.3"/>
    <s v="Lee"/>
    <s v="Appleby"/>
    <x v="5"/>
    <s v="NFD10"/>
    <d v="2010-05-07T00:00:00"/>
    <s v="Kooragang Island PDC"/>
    <x v="3"/>
    <x v="1"/>
    <x v="0"/>
    <x v="0"/>
    <x v="0"/>
    <x v="2"/>
    <x v="2"/>
    <x v="0"/>
    <x v="0"/>
    <x v="0"/>
    <x v="0"/>
    <n v="37180.300000000003"/>
  </r>
  <r>
    <s v="P1000988"/>
    <x v="6"/>
    <s v="IGA10010"/>
    <x v="2"/>
    <x v="2"/>
    <s v="CEP GI Works Replace 24V Power Supplies"/>
    <x v="2"/>
    <x v="0"/>
    <n v="89836"/>
    <n v="34730.46"/>
    <n v="16330.91"/>
    <n v="43687.27"/>
    <n v="78417.73"/>
    <s v="Todd"/>
    <s v="Mclennan"/>
    <x v="5"/>
    <s v="GOA01"/>
    <d v="2010-05-07T00:00:00"/>
    <s v="QLD Manufacturing"/>
    <x v="0"/>
    <x v="1"/>
    <x v="1"/>
    <x v="1"/>
    <x v="0"/>
    <x v="1"/>
    <x v="2"/>
    <x v="0"/>
    <x v="0"/>
    <x v="0"/>
    <x v="0"/>
    <n v="24635.41"/>
  </r>
  <r>
    <s v="P1000989"/>
    <x v="6"/>
    <s v="IGA10008"/>
    <x v="2"/>
    <x v="2"/>
    <s v="GIW - E608 Methanator Pre-Heater Upgrade"/>
    <x v="3"/>
    <x v="0"/>
    <n v="241109"/>
    <n v="95043"/>
    <n v="21488.61"/>
    <n v="33477.5"/>
    <n v="128520.5"/>
    <s v="David"/>
    <s v="Rowbottom"/>
    <x v="5"/>
    <s v="GOA01"/>
    <d v="2010-05-07T00:00:00"/>
    <s v="QLD Manufacturing"/>
    <x v="0"/>
    <x v="1"/>
    <x v="1"/>
    <x v="1"/>
    <x v="0"/>
    <x v="1"/>
    <x v="2"/>
    <x v="0"/>
    <x v="0"/>
    <x v="0"/>
    <x v="0"/>
    <n v="40874.480000000003"/>
  </r>
  <r>
    <s v="P1000990"/>
    <x v="6"/>
    <s v="IGA10009"/>
    <x v="2"/>
    <x v="2"/>
    <s v="GIW - E615 Primary Cooler Bundle Upgrade"/>
    <x v="3"/>
    <x v="0"/>
    <n v="439361"/>
    <n v="161393.43"/>
    <n v="23093.07"/>
    <n v="49536"/>
    <n v="210929.43"/>
    <s v="David"/>
    <s v="Rowbottom"/>
    <x v="5"/>
    <s v="GOA01"/>
    <d v="2010-05-07T00:00:00"/>
    <s v="QLD Manufacturing"/>
    <x v="0"/>
    <x v="1"/>
    <x v="1"/>
    <x v="1"/>
    <x v="0"/>
    <x v="1"/>
    <x v="2"/>
    <x v="0"/>
    <x v="0"/>
    <x v="0"/>
    <x v="0"/>
    <n v="60805.33"/>
  </r>
  <r>
    <s v="P1000991"/>
    <x v="6"/>
    <s v="IGA10011"/>
    <x v="2"/>
    <x v="2"/>
    <s v="GIW- C604 Cable replacement 3.3KV"/>
    <x v="3"/>
    <x v="0"/>
    <n v="79617"/>
    <n v="36948.89"/>
    <n v="8771.7800000000007"/>
    <n v="12155"/>
    <n v="49103.89"/>
    <s v="Craig"/>
    <s v="Williscroft"/>
    <x v="5"/>
    <s v="GOA01"/>
    <d v="2010-05-07T00:00:00"/>
    <s v="QLD Manufacturing"/>
    <x v="0"/>
    <x v="1"/>
    <x v="1"/>
    <x v="1"/>
    <x v="0"/>
    <x v="1"/>
    <x v="2"/>
    <x v="0"/>
    <x v="0"/>
    <x v="0"/>
    <x v="0"/>
    <n v="29747.73"/>
  </r>
  <r>
    <s v="P1000993"/>
    <x v="3"/>
    <s v="P1000993"/>
    <x v="8"/>
    <x v="1"/>
    <s v="Unknown"/>
    <x v="0"/>
    <x v="0"/>
    <n v="0"/>
    <n v="13459.93"/>
    <n v="6523"/>
    <n v="0"/>
    <n v="13459.93"/>
    <m/>
    <m/>
    <x v="0"/>
    <m/>
    <d v="1899-12-30T00:00:00"/>
    <m/>
    <x v="1"/>
    <x v="0"/>
    <x v="0"/>
    <x v="1"/>
    <x v="0"/>
    <x v="0"/>
    <x v="1"/>
    <x v="0"/>
    <x v="0"/>
    <x v="0"/>
    <x v="0"/>
    <n v="6523"/>
  </r>
  <r>
    <s v="P1000994"/>
    <x v="6"/>
    <s v="IGU10004"/>
    <x v="2"/>
    <x v="2"/>
    <s v="CEP Replace 24V Power Supplies - Urea Plant"/>
    <x v="2"/>
    <x v="0"/>
    <n v="97628"/>
    <n v="34218.1"/>
    <n v="6844.53"/>
    <n v="32940.589999999997"/>
    <n v="67158.69"/>
    <s v="Todd"/>
    <s v="Mclennan"/>
    <x v="5"/>
    <s v="GOU01"/>
    <d v="2010-05-12T00:00:00"/>
    <s v="QLD Manufacturing"/>
    <x v="0"/>
    <x v="1"/>
    <x v="1"/>
    <x v="1"/>
    <x v="0"/>
    <x v="1"/>
    <x v="2"/>
    <x v="0"/>
    <x v="0"/>
    <x v="0"/>
    <x v="0"/>
    <n v="21982.19"/>
  </r>
  <r>
    <s v="P1001010"/>
    <x v="1"/>
    <s v="SPO10001.190"/>
    <x v="1"/>
    <x v="1"/>
    <s v="Online Tracking Ajustment For Fines Conveyor"/>
    <x v="2"/>
    <x v="0"/>
    <n v="49000"/>
    <n v="6337.02"/>
    <n v="0"/>
    <n v="18531"/>
    <n v="24868.02"/>
    <s v="Simon"/>
    <s v="Ievers"/>
    <x v="5"/>
    <s v="SPG01"/>
    <d v="2010-05-18T00:00:00"/>
    <s v="Phos Hill Manufacturing"/>
    <x v="0"/>
    <x v="1"/>
    <x v="1"/>
    <x v="1"/>
    <x v="0"/>
    <x v="1"/>
    <x v="2"/>
    <x v="0"/>
    <x v="0"/>
    <x v="0"/>
    <x v="0"/>
    <n v="6337.02"/>
  </r>
  <r>
    <s v="P1001034"/>
    <x v="6"/>
    <s v="IGI10005"/>
    <x v="2"/>
    <x v="4"/>
    <s v="PDC Asset Renewal Phase 2 FY10"/>
    <x v="5"/>
    <x v="0"/>
    <n v="564407"/>
    <n v="71652.899999999994"/>
    <n v="2941.17"/>
    <n v="495987.78"/>
    <n v="567640.68000000005"/>
    <s v="Bruce"/>
    <s v="King"/>
    <x v="5"/>
    <s v="GD012"/>
    <d v="2010-06-04T00:00:00"/>
    <s v="QLD Manufacturing"/>
    <x v="0"/>
    <x v="1"/>
    <x v="0"/>
    <x v="0"/>
    <x v="0"/>
    <x v="1"/>
    <x v="2"/>
    <x v="0"/>
    <x v="0"/>
    <x v="0"/>
    <x v="0"/>
    <n v="40459.58"/>
  </r>
  <r>
    <s v="P1001035"/>
    <x v="1"/>
    <s v="SPP10013"/>
    <x v="1"/>
    <x v="1"/>
    <s v="Storage Tank 5 Reline and Baffle Upgrade"/>
    <x v="3"/>
    <x v="0"/>
    <n v="2800000"/>
    <n v="1227382.17"/>
    <n v="23317.34"/>
    <n v="1527751.35"/>
    <n v="2755133.52"/>
    <s v="Mark"/>
    <s v="Nash"/>
    <x v="5"/>
    <s v="SPP01"/>
    <d v="2010-06-04T00:00:00"/>
    <s v="Phos Hill Manufacturing"/>
    <x v="0"/>
    <x v="1"/>
    <x v="1"/>
    <x v="1"/>
    <x v="0"/>
    <x v="1"/>
    <x v="2"/>
    <x v="0"/>
    <x v="0"/>
    <x v="2"/>
    <x v="0"/>
    <n v="202891.45"/>
  </r>
  <r>
    <s v="P1001055"/>
    <x v="2"/>
    <s v="SPO10001.250"/>
    <x v="1"/>
    <x v="1"/>
    <s v="Mt Isa Warehouse - EMP Star Wire Storage Container"/>
    <x v="3"/>
    <x v="0"/>
    <n v="6567"/>
    <n v="6565"/>
    <n v="0"/>
    <n v="0"/>
    <n v="6565"/>
    <s v="Brett"/>
    <s v="Landells"/>
    <x v="5"/>
    <s v="SMS01"/>
    <d v="2010-06-15T00:00:00"/>
    <s v="Mt Isa"/>
    <x v="0"/>
    <x v="1"/>
    <x v="0"/>
    <x v="0"/>
    <x v="0"/>
    <x v="1"/>
    <x v="2"/>
    <x v="0"/>
    <x v="0"/>
    <x v="0"/>
    <x v="0"/>
    <n v="6565"/>
  </r>
  <r>
    <s v="P1001056"/>
    <x v="6"/>
    <s v="IGO10001.220"/>
    <x v="2"/>
    <x v="1"/>
    <s v="Replacement Autosampler for GI Oxidation Pond"/>
    <x v="2"/>
    <x v="0"/>
    <n v="9915"/>
    <n v="10084"/>
    <n v="0"/>
    <n v="0"/>
    <n v="10084"/>
    <s v="Steven"/>
    <s v="Ling"/>
    <x v="5"/>
    <s v="GW001"/>
    <d v="2010-06-15T00:00:00"/>
    <s v="QLD Manufacturing"/>
    <x v="0"/>
    <x v="1"/>
    <x v="1"/>
    <x v="1"/>
    <x v="0"/>
    <x v="1"/>
    <x v="2"/>
    <x v="0"/>
    <x v="0"/>
    <x v="0"/>
    <x v="0"/>
    <n v="0"/>
  </r>
  <r>
    <s v="P1001057"/>
    <x v="3"/>
    <s v="P1001057"/>
    <x v="1"/>
    <x v="1"/>
    <s v="Unknown"/>
    <x v="0"/>
    <x v="0"/>
    <n v="0"/>
    <n v="-11428"/>
    <n v="0"/>
    <n v="0"/>
    <n v="-11428"/>
    <m/>
    <m/>
    <x v="0"/>
    <m/>
    <d v="1899-12-30T00:00:00"/>
    <m/>
    <x v="1"/>
    <x v="0"/>
    <x v="0"/>
    <x v="1"/>
    <x v="0"/>
    <x v="0"/>
    <x v="1"/>
    <x v="0"/>
    <x v="0"/>
    <x v="0"/>
    <x v="0"/>
    <n v="0"/>
  </r>
  <r>
    <s v="P1001057"/>
    <x v="1"/>
    <s v="SPO10001.230"/>
    <x v="1"/>
    <x v="1"/>
    <s v="Purchase 5 Noise Dosimeter's"/>
    <x v="2"/>
    <x v="0"/>
    <n v="11500"/>
    <n v="11428"/>
    <n v="0"/>
    <n v="0"/>
    <n v="11428"/>
    <s v="Scott"/>
    <s v="Whitehead"/>
    <x v="5"/>
    <s v="STZ02"/>
    <d v="2010-06-15T00:00:00"/>
    <s v="Phos Hill Manufacturing"/>
    <x v="0"/>
    <x v="1"/>
    <x v="1"/>
    <x v="1"/>
    <x v="0"/>
    <x v="1"/>
    <x v="2"/>
    <x v="0"/>
    <x v="0"/>
    <x v="0"/>
    <x v="0"/>
    <n v="0"/>
  </r>
  <r>
    <s v="P1001061"/>
    <x v="7"/>
    <s v="INO10013"/>
    <x v="3"/>
    <x v="1"/>
    <s v="Purchase site 2 way radio system"/>
    <x v="2"/>
    <x v="0"/>
    <n v="7000"/>
    <n v="5922.73"/>
    <n v="0"/>
    <n v="0"/>
    <n v="5922.73"/>
    <s v="Robert"/>
    <s v="Bowden"/>
    <x v="5"/>
    <s v="FWT06"/>
    <d v="2010-06-17T00:00:00"/>
    <s v="Townsville PDC"/>
    <x v="0"/>
    <x v="1"/>
    <x v="1"/>
    <x v="1"/>
    <x v="0"/>
    <x v="2"/>
    <x v="2"/>
    <x v="0"/>
    <x v="0"/>
    <x v="0"/>
    <x v="0"/>
    <n v="0"/>
  </r>
  <r>
    <s v="P1001064"/>
    <x v="7"/>
    <s v="ISO10008"/>
    <x v="7"/>
    <x v="1"/>
    <s v="Conveyor Guarding Upgrade"/>
    <x v="2"/>
    <x v="0"/>
    <n v="40000"/>
    <n v="1158.5"/>
    <n v="0"/>
    <n v="39951.370000000003"/>
    <n v="41109.870000000003"/>
    <s v="Damian"/>
    <s v="Hollitt"/>
    <x v="5"/>
    <s v="FWR04"/>
    <d v="2010-06-17T00:00:00"/>
    <s v="Distribution Southern - S"/>
    <x v="4"/>
    <x v="1"/>
    <x v="1"/>
    <x v="1"/>
    <x v="0"/>
    <x v="2"/>
    <x v="2"/>
    <x v="0"/>
    <x v="0"/>
    <x v="0"/>
    <x v="0"/>
    <n v="0"/>
  </r>
  <r>
    <s v="P1001065"/>
    <x v="7"/>
    <s v="ISO10009"/>
    <x v="7"/>
    <x v="1"/>
    <s v="New Forklift"/>
    <x v="5"/>
    <x v="0"/>
    <n v="30300"/>
    <n v="-27.27"/>
    <n v="0"/>
    <n v="30300"/>
    <n v="30272.73"/>
    <s v="Jeff"/>
    <s v="Cameron"/>
    <x v="5"/>
    <s v="FRS17"/>
    <d v="2010-06-17T00:00:00"/>
    <s v="Distribution Southern - V"/>
    <x v="2"/>
    <x v="1"/>
    <x v="1"/>
    <x v="1"/>
    <x v="0"/>
    <x v="2"/>
    <x v="2"/>
    <x v="0"/>
    <x v="0"/>
    <x v="0"/>
    <x v="0"/>
    <n v="0"/>
  </r>
  <r>
    <s v="P1001066"/>
    <x v="7"/>
    <s v="IWL10004"/>
    <x v="9"/>
    <x v="1"/>
    <s v="Centrifuges"/>
    <x v="5"/>
    <x v="0"/>
    <n v="25000"/>
    <n v="22500"/>
    <n v="0"/>
    <n v="0"/>
    <n v="22500"/>
    <s v="Lisa"/>
    <s v="Koch"/>
    <x v="5"/>
    <s v="FMS01"/>
    <d v="2010-06-17T00:00:00"/>
    <s v="Laboratory Services"/>
    <x v="2"/>
    <x v="1"/>
    <x v="1"/>
    <x v="1"/>
    <x v="0"/>
    <x v="1"/>
    <x v="2"/>
    <x v="0"/>
    <x v="0"/>
    <x v="0"/>
    <x v="0"/>
    <n v="0"/>
  </r>
  <r>
    <s v="P1001068"/>
    <x v="7"/>
    <s v="ISO10003.50"/>
    <x v="7"/>
    <x v="1"/>
    <s v="Administration Airconditioner Upgrade"/>
    <x v="2"/>
    <x v="0"/>
    <n v="46000"/>
    <n v="4845"/>
    <n v="0"/>
    <n v="29910"/>
    <n v="34755"/>
    <s v="Damian"/>
    <s v="Hollitt"/>
    <x v="5"/>
    <s v="FWX06"/>
    <d v="2010-06-17T00:00:00"/>
    <s v="Distribution Southern - S"/>
    <x v="4"/>
    <x v="1"/>
    <x v="1"/>
    <x v="1"/>
    <x v="0"/>
    <x v="2"/>
    <x v="2"/>
    <x v="0"/>
    <x v="0"/>
    <x v="0"/>
    <x v="0"/>
    <n v="1680"/>
  </r>
  <r>
    <s v="P1001073"/>
    <x v="1"/>
    <s v="SPB10002"/>
    <x v="1"/>
    <x v="1"/>
    <s v="Beneficiation Storm Water Pond Pump Upgrade"/>
    <x v="2"/>
    <x v="0"/>
    <n v="33147"/>
    <n v="12094.48"/>
    <n v="1530"/>
    <n v="19352.97"/>
    <n v="31447.45"/>
    <s v="Terry"/>
    <s v="Mccauley"/>
    <x v="5"/>
    <s v="SPB01"/>
    <d v="2010-06-18T00:00:00"/>
    <s v="Phos Hill Manufacturing"/>
    <x v="0"/>
    <x v="1"/>
    <x v="1"/>
    <x v="1"/>
    <x v="0"/>
    <x v="1"/>
    <x v="2"/>
    <x v="0"/>
    <x v="0"/>
    <x v="0"/>
    <x v="0"/>
    <n v="6120"/>
  </r>
  <r>
    <s v="P1001074"/>
    <x v="6"/>
    <s v="IGO10011"/>
    <x v="2"/>
    <x v="1"/>
    <s v="Site Services Crane Replacement"/>
    <x v="5"/>
    <x v="0"/>
    <n v="375500"/>
    <n v="420145"/>
    <n v="0"/>
    <n v="0"/>
    <n v="420145"/>
    <s v="Daniel"/>
    <s v="O'shea"/>
    <x v="5"/>
    <s v="GW001"/>
    <d v="2010-06-18T00:00:00"/>
    <s v="QLD Manufacturing"/>
    <x v="0"/>
    <x v="1"/>
    <x v="1"/>
    <x v="1"/>
    <x v="0"/>
    <x v="1"/>
    <x v="2"/>
    <x v="0"/>
    <x v="0"/>
    <x v="0"/>
    <x v="0"/>
    <n v="0"/>
  </r>
  <r>
    <s v="P1001075"/>
    <x v="8"/>
    <s v="IKI10014"/>
    <x v="5"/>
    <x v="4"/>
    <s v="KI Bagging Plant Refurbishment"/>
    <x v="2"/>
    <x v="0"/>
    <n v="498027"/>
    <n v="72328"/>
    <n v="-18596"/>
    <n v="475167.5"/>
    <n v="547495.5"/>
    <s v="Lee"/>
    <s v="Appleby"/>
    <x v="5"/>
    <s v="NFD10"/>
    <d v="2010-06-18T00:00:00"/>
    <s v="Kooragang Island PDC"/>
    <x v="3"/>
    <x v="1"/>
    <x v="1"/>
    <x v="1"/>
    <x v="0"/>
    <x v="2"/>
    <x v="2"/>
    <x v="0"/>
    <x v="0"/>
    <x v="0"/>
    <x v="0"/>
    <n v="-18596"/>
  </r>
  <r>
    <s v="P1001076"/>
    <x v="8"/>
    <s v="IKI10013"/>
    <x v="5"/>
    <x v="1"/>
    <s v="KI Blackscreen Dehumidifier"/>
    <x v="8"/>
    <x v="0"/>
    <n v="97517"/>
    <n v="63150"/>
    <n v="2215"/>
    <n v="4240"/>
    <n v="67390"/>
    <s v="Lee"/>
    <s v="Appleby"/>
    <x v="5"/>
    <s v="NFD04"/>
    <d v="2010-06-18T00:00:00"/>
    <s v="Kooragang Island PDC"/>
    <x v="3"/>
    <x v="1"/>
    <x v="1"/>
    <x v="1"/>
    <x v="0"/>
    <x v="1"/>
    <x v="2"/>
    <x v="0"/>
    <x v="0"/>
    <x v="0"/>
    <x v="0"/>
    <n v="55004"/>
  </r>
  <r>
    <s v="P1001077"/>
    <x v="6"/>
    <s v="IGO10001.230"/>
    <x v="2"/>
    <x v="1"/>
    <s v="Additional UHF Radio Communication"/>
    <x v="2"/>
    <x v="0"/>
    <n v="50236"/>
    <n v="-80"/>
    <n v="0"/>
    <n v="44690"/>
    <n v="44610"/>
    <s v="Troy"/>
    <s v="Knox"/>
    <x v="5"/>
    <s v="GW001"/>
    <d v="2010-06-18T00:00:00"/>
    <s v="QLD Manufacturing"/>
    <x v="0"/>
    <x v="1"/>
    <x v="1"/>
    <x v="1"/>
    <x v="0"/>
    <x v="1"/>
    <x v="2"/>
    <x v="0"/>
    <x v="0"/>
    <x v="0"/>
    <x v="0"/>
    <n v="0"/>
  </r>
  <r>
    <s v="P1001079"/>
    <x v="1"/>
    <s v="SPO10009"/>
    <x v="1"/>
    <x v="1"/>
    <s v="Machine Guarding Action Items"/>
    <x v="2"/>
    <x v="0"/>
    <n v="110000"/>
    <n v="60651.58"/>
    <n v="0"/>
    <n v="42969.18"/>
    <n v="103620.76"/>
    <s v="Stephen"/>
    <s v="Miller"/>
    <x v="5"/>
    <s v="SPZ13"/>
    <d v="2010-06-18T00:00:00"/>
    <s v="Phos Hill Manufacturing"/>
    <x v="0"/>
    <x v="1"/>
    <x v="1"/>
    <x v="1"/>
    <x v="0"/>
    <x v="2"/>
    <x v="2"/>
    <x v="0"/>
    <x v="0"/>
    <x v="0"/>
    <x v="0"/>
    <n v="19081.02"/>
  </r>
  <r>
    <s v="P1001080"/>
    <x v="1"/>
    <s v="SPO10017"/>
    <x v="1"/>
    <x v="1"/>
    <s v="11kV Protection Upgrade"/>
    <x v="3"/>
    <x v="0"/>
    <n v="100332"/>
    <n v="16809.3"/>
    <n v="5542"/>
    <n v="2775"/>
    <n v="19584.3"/>
    <s v="Terry"/>
    <s v="Mccauley"/>
    <x v="5"/>
    <s v="SPU02"/>
    <d v="2010-06-18T00:00:00"/>
    <s v="Phos Hill Manufacturing"/>
    <x v="0"/>
    <x v="1"/>
    <x v="1"/>
    <x v="1"/>
    <x v="0"/>
    <x v="1"/>
    <x v="2"/>
    <x v="0"/>
    <x v="0"/>
    <x v="0"/>
    <x v="0"/>
    <n v="16809.3"/>
  </r>
  <r>
    <s v="P1001081"/>
    <x v="6"/>
    <s v="IGO10010"/>
    <x v="2"/>
    <x v="1"/>
    <s v="Portable Gas Detectors"/>
    <x v="2"/>
    <x v="0"/>
    <n v="99353"/>
    <n v="91222.02"/>
    <n v="0"/>
    <n v="0"/>
    <n v="91222.02"/>
    <s v="Troy"/>
    <s v="Knox"/>
    <x v="5"/>
    <s v="GE005"/>
    <d v="2010-06-18T00:00:00"/>
    <s v="QLD Manufacturing"/>
    <x v="0"/>
    <x v="1"/>
    <x v="1"/>
    <x v="1"/>
    <x v="0"/>
    <x v="1"/>
    <x v="2"/>
    <x v="0"/>
    <x v="0"/>
    <x v="0"/>
    <x v="0"/>
    <n v="0"/>
  </r>
  <r>
    <s v="P1001082"/>
    <x v="7"/>
    <s v="IGP10002"/>
    <x v="6"/>
    <x v="1"/>
    <s v="GE0135 Lara 2 Ranco Line 2 Screen"/>
    <x v="1"/>
    <x v="0"/>
    <n v="94190"/>
    <n v="20147.900000000001"/>
    <n v="0"/>
    <n v="73636.25"/>
    <n v="93784.15"/>
    <s v="Steve"/>
    <s v="Agiejew"/>
    <x v="5"/>
    <s v="FWL04"/>
    <d v="2010-06-18T00:00:00"/>
    <s v="Geelong PDC"/>
    <x v="2"/>
    <x v="1"/>
    <x v="1"/>
    <x v="1"/>
    <x v="0"/>
    <x v="1"/>
    <x v="2"/>
    <x v="0"/>
    <x v="0"/>
    <x v="0"/>
    <x v="0"/>
    <n v="11615.4"/>
  </r>
  <r>
    <s v="P1001084"/>
    <x v="6"/>
    <s v="IGA10013"/>
    <x v="2"/>
    <x v="2"/>
    <s v="CEP NH3 AMC controls relocation"/>
    <x v="2"/>
    <x v="0"/>
    <n v="143051"/>
    <n v="109238.17"/>
    <n v="12679.5"/>
    <n v="11232.5"/>
    <n v="120470.67"/>
    <s v="Kieran"/>
    <s v="Mcshane"/>
    <x v="5"/>
    <s v="GOA01"/>
    <d v="2010-06-18T00:00:00"/>
    <s v="QLD Manufacturing"/>
    <x v="0"/>
    <x v="1"/>
    <x v="1"/>
    <x v="1"/>
    <x v="0"/>
    <x v="1"/>
    <x v="2"/>
    <x v="0"/>
    <x v="0"/>
    <x v="0"/>
    <x v="0"/>
    <n v="19442.39"/>
  </r>
  <r>
    <s v="P1001085"/>
    <x v="7"/>
    <s v="IPM10014"/>
    <x v="4"/>
    <x v="1"/>
    <s v="Additives Plant Storm Water Improvements"/>
    <x v="2"/>
    <x v="0"/>
    <n v="304000"/>
    <n v="13194.81"/>
    <n v="0"/>
    <n v="308604.68"/>
    <n v="321799.49"/>
    <s v="Karl"/>
    <s v="Nowakowski"/>
    <x v="5"/>
    <s v="PTS01"/>
    <d v="2010-06-18T00:00:00"/>
    <s v="Portland Manufacturing"/>
    <x v="2"/>
    <x v="1"/>
    <x v="1"/>
    <x v="1"/>
    <x v="0"/>
    <x v="2"/>
    <x v="2"/>
    <x v="0"/>
    <x v="0"/>
    <x v="0"/>
    <x v="0"/>
    <n v="11220.6"/>
  </r>
  <r>
    <s v="P1001090"/>
    <x v="6"/>
    <s v="IGO10001.240"/>
    <x v="2"/>
    <x v="1"/>
    <s v="Tee and Acid Area Enclosure Stage 2"/>
    <x v="2"/>
    <x v="0"/>
    <n v="36850"/>
    <n v="64491.62"/>
    <n v="0"/>
    <n v="22672.55"/>
    <n v="87164.17"/>
    <s v="Stephen"/>
    <s v="Moon"/>
    <x v="5"/>
    <s v="GOG06"/>
    <d v="2010-06-21T00:00:00"/>
    <s v="QLD Manufacturing"/>
    <x v="0"/>
    <x v="1"/>
    <x v="1"/>
    <x v="1"/>
    <x v="0"/>
    <x v="1"/>
    <x v="2"/>
    <x v="0"/>
    <x v="0"/>
    <x v="0"/>
    <x v="0"/>
    <n v="7719.91"/>
  </r>
  <r>
    <s v="P1001093"/>
    <x v="7"/>
    <s v="IPM10003.30"/>
    <x v="4"/>
    <x v="1"/>
    <s v="High Voltage Motor Isolator upgrade"/>
    <x v="2"/>
    <x v="0"/>
    <n v="14566"/>
    <n v="968.2"/>
    <n v="0"/>
    <n v="13554.1"/>
    <n v="14522.3"/>
    <s v="Karl"/>
    <s v="Nowakowski"/>
    <x v="5"/>
    <s v="PTS01"/>
    <d v="2010-06-23T00:00:00"/>
    <s v="Portland Manufacturing"/>
    <x v="2"/>
    <x v="1"/>
    <x v="1"/>
    <x v="1"/>
    <x v="0"/>
    <x v="1"/>
    <x v="2"/>
    <x v="0"/>
    <x v="0"/>
    <x v="0"/>
    <x v="0"/>
    <n v="0"/>
  </r>
  <r>
    <s v="P1001118"/>
    <x v="3"/>
    <s v="IFI10012"/>
    <x v="8"/>
    <x v="1"/>
    <s v="Redundant Multi-Switch for single PSU devs in DC"/>
    <x v="8"/>
    <x v="0"/>
    <n v="3452"/>
    <n v="3452.36"/>
    <n v="0"/>
    <n v="0"/>
    <n v="3452.36"/>
    <s v="Brad"/>
    <s v="Williams"/>
    <x v="5"/>
    <s v="ZI004"/>
    <d v="2010-07-01T00:00:00"/>
    <s v="IT"/>
    <x v="2"/>
    <x v="1"/>
    <x v="1"/>
    <x v="1"/>
    <x v="0"/>
    <x v="2"/>
    <x v="2"/>
    <x v="0"/>
    <x v="0"/>
    <x v="0"/>
    <x v="0"/>
    <n v="0"/>
  </r>
  <r>
    <s v="P1001119"/>
    <x v="6"/>
    <s v="IGU10005"/>
    <x v="2"/>
    <x v="2"/>
    <s v="CEP Urea AMC Controls Relocation"/>
    <x v="2"/>
    <x v="0"/>
    <n v="107698"/>
    <n v="75923.89"/>
    <n v="-555.19000000000005"/>
    <n v="13194.67"/>
    <n v="89118.56"/>
    <s v="Kieran"/>
    <s v="Mcshane"/>
    <x v="5"/>
    <s v="GOU01"/>
    <d v="2010-07-01T00:00:00"/>
    <s v="QLD Manufacturing"/>
    <x v="0"/>
    <x v="1"/>
    <x v="1"/>
    <x v="1"/>
    <x v="0"/>
    <x v="1"/>
    <x v="2"/>
    <x v="0"/>
    <x v="0"/>
    <x v="0"/>
    <x v="0"/>
    <n v="28792.31"/>
  </r>
  <r>
    <s v="P1001125"/>
    <x v="3"/>
    <s v="IFI10014"/>
    <x v="8"/>
    <x v="1"/>
    <s v="Dawson IT Implementation"/>
    <x v="8"/>
    <x v="0"/>
    <n v="14905"/>
    <n v="390"/>
    <n v="0"/>
    <n v="0"/>
    <n v="390"/>
    <s v="Ross"/>
    <s v="Elton"/>
    <x v="5"/>
    <s v="ZI004"/>
    <d v="2010-07-05T00:00:00"/>
    <s v="Finance"/>
    <x v="2"/>
    <x v="1"/>
    <x v="1"/>
    <x v="1"/>
    <x v="0"/>
    <x v="1"/>
    <x v="2"/>
    <x v="0"/>
    <x v="0"/>
    <x v="0"/>
    <x v="0"/>
    <n v="0"/>
  </r>
  <r>
    <s v="P1001126"/>
    <x v="7"/>
    <s v="IGE10017"/>
    <x v="6"/>
    <x v="1"/>
    <s v="Upgrade coarse outlet chute from gyrotor cone"/>
    <x v="7"/>
    <x v="0"/>
    <n v="49000"/>
    <n v="19086.900000000001"/>
    <n v="0"/>
    <n v="25602"/>
    <n v="44688.9"/>
    <s v="Karl"/>
    <s v="Nowakowski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0"/>
  </r>
  <r>
    <s v="P1001131"/>
    <x v="1"/>
    <s v="SPP10015"/>
    <x v="1"/>
    <x v="1"/>
    <s v="Presanction for Reactor 1C and 1A Floor Upgrade"/>
    <x v="3"/>
    <x v="0"/>
    <n v="640000"/>
    <n v="245138.29"/>
    <n v="10021"/>
    <n v="29640"/>
    <n v="274778.28999999998"/>
    <s v="Mark"/>
    <s v="Nash"/>
    <x v="5"/>
    <s v="SPP01"/>
    <d v="2010-07-05T00:00:00"/>
    <s v="Phos Hill Manufacturing"/>
    <x v="0"/>
    <x v="1"/>
    <x v="1"/>
    <x v="1"/>
    <x v="0"/>
    <x v="1"/>
    <x v="2"/>
    <x v="0"/>
    <x v="0"/>
    <x v="0"/>
    <x v="0"/>
    <n v="236118.29"/>
  </r>
  <r>
    <s v="P1001133"/>
    <x v="7"/>
    <s v="IGE10018"/>
    <x v="6"/>
    <x v="1"/>
    <s v="GEMC10-007 Belt splicing platform extension"/>
    <x v="2"/>
    <x v="0"/>
    <n v="52256"/>
    <n v="4486.91"/>
    <n v="0"/>
    <n v="42231.5"/>
    <n v="46718.41"/>
    <s v="Stephen"/>
    <s v="Mcdonald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440"/>
  </r>
  <r>
    <s v="P1001134"/>
    <x v="7"/>
    <s v="IGE10023"/>
    <x v="6"/>
    <x v="1"/>
    <s v="GE0144 - Drier Building Cyclone Impact Cleaners"/>
    <x v="7"/>
    <x v="0"/>
    <n v="178602"/>
    <n v="40454.81"/>
    <n v="0"/>
    <n v="83824.34"/>
    <n v="124279.15"/>
    <s v="Raffaele"/>
    <s v="D'agostino"/>
    <x v="5"/>
    <s v="GES01"/>
    <d v="2010-07-05T00:00:00"/>
    <s v="Geelong Manufacturing"/>
    <x v="2"/>
    <x v="1"/>
    <x v="1"/>
    <x v="1"/>
    <x v="0"/>
    <x v="2"/>
    <x v="2"/>
    <x v="0"/>
    <x v="0"/>
    <x v="0"/>
    <x v="0"/>
    <n v="320"/>
  </r>
  <r>
    <s v="P1001135"/>
    <x v="7"/>
    <s v="IGE10028"/>
    <x v="6"/>
    <x v="1"/>
    <s v="GEMC10-005 New maint platform &amp; stairs"/>
    <x v="2"/>
    <x v="0"/>
    <n v="133376"/>
    <n v="18136.91"/>
    <n v="0"/>
    <n v="99858.96"/>
    <n v="117995.87"/>
    <s v="Stephen"/>
    <s v="Mcdonald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6340"/>
  </r>
  <r>
    <s v="P1001136"/>
    <x v="7"/>
    <s v="IGE10026"/>
    <x v="6"/>
    <x v="1"/>
    <s v="GEMC10-008 Upgrade conveyor guarding"/>
    <x v="2"/>
    <x v="0"/>
    <n v="168013"/>
    <n v="8226.91"/>
    <n v="0"/>
    <n v="142080"/>
    <n v="150306.91"/>
    <s v="Stephen"/>
    <s v="Mcdonald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0"/>
  </r>
  <r>
    <s v="P1001137"/>
    <x v="7"/>
    <s v="IGE10019"/>
    <x v="6"/>
    <x v="1"/>
    <s v="GE0149 Upgrade Conveyor Guarding"/>
    <x v="2"/>
    <x v="0"/>
    <n v="209128"/>
    <n v="10206.91"/>
    <n v="0"/>
    <n v="177992"/>
    <n v="188198.91"/>
    <s v="Stephen"/>
    <s v="Mcdonald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880"/>
  </r>
  <r>
    <s v="P1001138"/>
    <x v="7"/>
    <s v="IGE10024"/>
    <x v="6"/>
    <x v="1"/>
    <s v="GE0143 New scrapers  brushes  skirts &amp; drive"/>
    <x v="2"/>
    <x v="0"/>
    <n v="194374"/>
    <n v="82056.84"/>
    <n v="0"/>
    <n v="259404.31"/>
    <n v="341461.15"/>
    <s v="Stephen"/>
    <s v="Mcdonald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4960"/>
  </r>
  <r>
    <s v="P1001139"/>
    <x v="7"/>
    <s v="IGE10027"/>
    <x v="6"/>
    <x v="1"/>
    <s v="GEMC10-004 New scrapers  skirts &amp; drive upgrades"/>
    <x v="2"/>
    <x v="0"/>
    <n v="155630"/>
    <n v="8666.91"/>
    <n v="0"/>
    <n v="119410.73"/>
    <n v="128077.64"/>
    <s v="Stephen"/>
    <s v="Mcdonald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440"/>
  </r>
  <r>
    <s v="P1001140"/>
    <x v="7"/>
    <s v="IGE10034"/>
    <x v="6"/>
    <x v="1"/>
    <s v="GE0145 Ball Mill Electric Ear"/>
    <x v="7"/>
    <x v="0"/>
    <n v="75801"/>
    <n v="23524.27"/>
    <n v="2287.86"/>
    <n v="52622.95"/>
    <n v="76147.22"/>
    <s v="Paul"/>
    <s v="Farrell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5232.3599999999997"/>
  </r>
  <r>
    <s v="P1001141"/>
    <x v="7"/>
    <s v="IGE10020"/>
    <x v="6"/>
    <x v="1"/>
    <s v="GE0148 - Drier Control Room Refurbishment"/>
    <x v="2"/>
    <x v="0"/>
    <n v="78815"/>
    <n v="5161.91"/>
    <n v="0"/>
    <n v="60325.53"/>
    <n v="65487.44"/>
    <s v="Raffaele"/>
    <s v="D'agostino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0"/>
  </r>
  <r>
    <s v="P1001142"/>
    <x v="7"/>
    <s v="IGE10025"/>
    <x v="6"/>
    <x v="1"/>
    <s v="GEMC10-017 - No.2\3 Rock Riser Conv Belt Cleaners"/>
    <x v="2"/>
    <x v="0"/>
    <n v="155364"/>
    <n v="33070.089999999997"/>
    <n v="0"/>
    <n v="90733.03"/>
    <n v="123803.12"/>
    <s v="Raffaele"/>
    <s v="D'agostino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960"/>
  </r>
  <r>
    <s v="P1001143"/>
    <x v="7"/>
    <s v="IGE10031"/>
    <x v="6"/>
    <x v="1"/>
    <s v="GE0146 New Diverter above Oversize Screens"/>
    <x v="2"/>
    <x v="0"/>
    <n v="420897"/>
    <n v="189258.02"/>
    <n v="6000"/>
    <n v="238659.49"/>
    <n v="427917.51"/>
    <s v="Peter"/>
    <s v="Williams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6900"/>
  </r>
  <r>
    <s v="P1001144"/>
    <x v="7"/>
    <s v="IGE10035"/>
    <x v="6"/>
    <x v="1"/>
    <s v="GEMC10-021 New Self-cleaning Magnet"/>
    <x v="2"/>
    <x v="0"/>
    <n v="141809"/>
    <n v="56102.89"/>
    <n v="0"/>
    <n v="83595.08"/>
    <n v="139697.97"/>
    <s v="Peter"/>
    <s v="Williams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0"/>
  </r>
  <r>
    <s v="P1001145"/>
    <x v="7"/>
    <s v="IGE10021"/>
    <x v="6"/>
    <x v="1"/>
    <s v="GEMC10-022 Upgrade Hygiene Duct Flushing System"/>
    <x v="2"/>
    <x v="0"/>
    <n v="83367"/>
    <n v="11080.72"/>
    <n v="0"/>
    <n v="71604.5"/>
    <n v="82685.22"/>
    <s v="Peter"/>
    <s v="Williams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0"/>
  </r>
  <r>
    <s v="P1001146"/>
    <x v="7"/>
    <s v="IGE10029"/>
    <x v="6"/>
    <x v="1"/>
    <s v="GEMC10-026 Cooler Outlet Grizzly Modification"/>
    <x v="2"/>
    <x v="0"/>
    <n v="99644"/>
    <n v="18062.330000000002"/>
    <n v="1040"/>
    <n v="61574.49"/>
    <n v="79636.820000000007"/>
    <s v="Raffaele"/>
    <s v="D'agostino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2040"/>
  </r>
  <r>
    <s v="P1001147"/>
    <x v="7"/>
    <s v="IGE10032"/>
    <x v="6"/>
    <x v="1"/>
    <s v="GEMC10-024 Upgrade Raw Super Conveyors No's 1 to 5"/>
    <x v="2"/>
    <x v="0"/>
    <n v="198852"/>
    <n v="14037.32"/>
    <n v="0"/>
    <n v="173506.27"/>
    <n v="187543.59"/>
    <s v="Peter"/>
    <s v="Williams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930.92"/>
  </r>
  <r>
    <s v="P1001148"/>
    <x v="7"/>
    <s v="IGE10036"/>
    <x v="6"/>
    <x v="1"/>
    <s v="GEMC10-023 Automatic Slide Gates Rocktunnel No 1"/>
    <x v="2"/>
    <x v="0"/>
    <n v="149446"/>
    <n v="42558.84"/>
    <n v="0"/>
    <n v="95277.5"/>
    <n v="137836.34"/>
    <s v="Peter"/>
    <s v="Williams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1870"/>
  </r>
  <r>
    <s v="P1001149"/>
    <x v="7"/>
    <s v="IGE10022"/>
    <x v="6"/>
    <x v="1"/>
    <s v="GEMC10-025 Upgrade Headrum Spillage Chute  Dens"/>
    <x v="2"/>
    <x v="0"/>
    <n v="89565"/>
    <n v="11671.01"/>
    <n v="0"/>
    <n v="77602.8"/>
    <n v="89273.81"/>
    <s v="Peter"/>
    <s v="Williams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0"/>
  </r>
  <r>
    <s v="P1001150"/>
    <x v="7"/>
    <s v="IGE10030"/>
    <x v="6"/>
    <x v="1"/>
    <s v="Upgrade product chute to air slide from gyrotor"/>
    <x v="7"/>
    <x v="0"/>
    <n v="56000"/>
    <n v="11939.4"/>
    <n v="0"/>
    <n v="38435"/>
    <n v="50374.400000000001"/>
    <s v="Karl"/>
    <s v="Nowakowski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0"/>
  </r>
  <r>
    <s v="P1001151"/>
    <x v="7"/>
    <s v="IGE10033"/>
    <x v="6"/>
    <x v="1"/>
    <s v="Modify clamshells &amp; automate-Rock Tunnel 3 Feeder"/>
    <x v="2"/>
    <x v="0"/>
    <n v="109165"/>
    <n v="16265.01"/>
    <n v="3844.2"/>
    <n v="87644.31"/>
    <n v="103909.32"/>
    <s v="Karl"/>
    <s v="Nowakowski"/>
    <x v="5"/>
    <s v="GES01"/>
    <d v="2010-07-05T00:00:00"/>
    <s v="Geelong Manufacturing"/>
    <x v="2"/>
    <x v="1"/>
    <x v="1"/>
    <x v="1"/>
    <x v="0"/>
    <x v="1"/>
    <x v="2"/>
    <x v="0"/>
    <x v="0"/>
    <x v="0"/>
    <x v="0"/>
    <n v="3844.2"/>
  </r>
  <r>
    <s v="P1001152"/>
    <x v="7"/>
    <s v="IGE10016"/>
    <x v="6"/>
    <x v="1"/>
    <s v="GE0107 Drier Plant Recycle Gates"/>
    <x v="3"/>
    <x v="0"/>
    <n v="387716"/>
    <n v="47703.44"/>
    <n v="0"/>
    <n v="285630"/>
    <n v="333333.44"/>
    <s v="Steve"/>
    <s v="Agiejew"/>
    <x v="5"/>
    <s v="GES03"/>
    <d v="2010-07-05T00:00:00"/>
    <s v="Geelong Manufacturing"/>
    <x v="2"/>
    <x v="1"/>
    <x v="1"/>
    <x v="1"/>
    <x v="0"/>
    <x v="1"/>
    <x v="2"/>
    <x v="0"/>
    <x v="0"/>
    <x v="0"/>
    <x v="0"/>
    <n v="4530"/>
  </r>
  <r>
    <s v="P1001153"/>
    <x v="7"/>
    <s v="IGE10015"/>
    <x v="6"/>
    <x v="1"/>
    <s v="GEMC10-019 Fines Screen Outlet Cones/False Floors"/>
    <x v="3"/>
    <x v="0"/>
    <n v="74210"/>
    <n v="8486.91"/>
    <n v="0"/>
    <n v="48212"/>
    <n v="56698.91"/>
    <s v="Steve"/>
    <s v="Agiejew"/>
    <x v="5"/>
    <s v="GES03"/>
    <d v="2010-07-05T00:00:00"/>
    <s v="Geelong Manufacturing"/>
    <x v="2"/>
    <x v="1"/>
    <x v="1"/>
    <x v="1"/>
    <x v="0"/>
    <x v="1"/>
    <x v="2"/>
    <x v="0"/>
    <x v="0"/>
    <x v="0"/>
    <x v="0"/>
    <n v="250"/>
  </r>
  <r>
    <s v="P1001155"/>
    <x v="6"/>
    <s v="IGU10006"/>
    <x v="2"/>
    <x v="2"/>
    <s v="GIW - Urea DB24A replacement"/>
    <x v="2"/>
    <x v="0"/>
    <n v="85680"/>
    <n v="55588.13"/>
    <n v="16144.5"/>
    <n v="26980"/>
    <n v="82568.13"/>
    <s v="Craig"/>
    <s v="Williscroft"/>
    <x v="5"/>
    <s v="GOU01"/>
    <d v="2010-07-06T00:00:00"/>
    <s v="QLD Manufacturing"/>
    <x v="0"/>
    <x v="1"/>
    <x v="1"/>
    <x v="1"/>
    <x v="0"/>
    <x v="1"/>
    <x v="2"/>
    <x v="0"/>
    <x v="0"/>
    <x v="0"/>
    <x v="0"/>
    <n v="21651.97"/>
  </r>
  <r>
    <s v="P1001156"/>
    <x v="6"/>
    <s v="IGA10015"/>
    <x v="2"/>
    <x v="2"/>
    <s v="CEP GI Works Upgrade NH3 Plant UPS"/>
    <x v="2"/>
    <x v="0"/>
    <n v="108490"/>
    <n v="67428.47"/>
    <n v="-4314.59"/>
    <n v="15392.17"/>
    <n v="82820.639999999999"/>
    <s v="David"/>
    <s v="Harney"/>
    <x v="5"/>
    <s v="GOA01"/>
    <d v="2010-07-06T00:00:00"/>
    <s v="QLD Manufacturing"/>
    <x v="0"/>
    <x v="1"/>
    <x v="1"/>
    <x v="1"/>
    <x v="0"/>
    <x v="1"/>
    <x v="2"/>
    <x v="0"/>
    <x v="0"/>
    <x v="0"/>
    <x v="0"/>
    <n v="12981.42"/>
  </r>
  <r>
    <s v="P1001157"/>
    <x v="6"/>
    <s v="IGG10002"/>
    <x v="2"/>
    <x v="1"/>
    <s v="Granulation Plant Cable Trays Upgrade"/>
    <x v="2"/>
    <x v="0"/>
    <n v="151360"/>
    <n v="12542.5"/>
    <n v="70"/>
    <n v="152919.06"/>
    <n v="165461.56"/>
    <s v="Stephen"/>
    <s v="Moon"/>
    <x v="5"/>
    <s v="GOG06"/>
    <d v="2010-07-06T00:00:00"/>
    <s v="QLD Manufacturing"/>
    <x v="0"/>
    <x v="1"/>
    <x v="1"/>
    <x v="1"/>
    <x v="0"/>
    <x v="1"/>
    <x v="2"/>
    <x v="0"/>
    <x v="0"/>
    <x v="0"/>
    <x v="0"/>
    <n v="980"/>
  </r>
  <r>
    <s v="P1001158"/>
    <x v="6"/>
    <s v="IGO10012"/>
    <x v="2"/>
    <x v="1"/>
    <s v="Lake Travis Waste Water Treatment"/>
    <x v="7"/>
    <x v="0"/>
    <n v="86486"/>
    <n v="19034.939999999999"/>
    <n v="380"/>
    <n v="47301.01"/>
    <n v="66335.95"/>
    <s v="Peter"/>
    <s v="Vollert"/>
    <x v="5"/>
    <s v="GW001"/>
    <d v="2010-07-06T00:00:00"/>
    <s v="QLD Manufacturing"/>
    <x v="0"/>
    <x v="1"/>
    <x v="1"/>
    <x v="1"/>
    <x v="0"/>
    <x v="1"/>
    <x v="2"/>
    <x v="0"/>
    <x v="0"/>
    <x v="0"/>
    <x v="0"/>
    <n v="6325"/>
  </r>
  <r>
    <s v="P1001159"/>
    <x v="6"/>
    <s v="IGA10014"/>
    <x v="2"/>
    <x v="2"/>
    <s v="GIW - E619A/B Heat Exchanger Upgrade"/>
    <x v="3"/>
    <x v="0"/>
    <n v="111902"/>
    <n v="27292.95"/>
    <n v="16795.849999999999"/>
    <n v="0"/>
    <n v="27292.95"/>
    <s v="David"/>
    <s v="Rowbottom"/>
    <x v="5"/>
    <s v="GOA01"/>
    <d v="2010-07-06T00:00:00"/>
    <s v="QLD Manufacturing"/>
    <x v="0"/>
    <x v="1"/>
    <x v="1"/>
    <x v="1"/>
    <x v="0"/>
    <x v="1"/>
    <x v="2"/>
    <x v="0"/>
    <x v="0"/>
    <x v="0"/>
    <x v="0"/>
    <n v="21719.25"/>
  </r>
  <r>
    <s v="P1001160"/>
    <x v="6"/>
    <s v="IGA10016"/>
    <x v="2"/>
    <x v="2"/>
    <s v="GIW - E623A/B heat Exchanger Upgrade"/>
    <x v="3"/>
    <x v="0"/>
    <n v="100010"/>
    <n v="19373.5"/>
    <n v="10099.41"/>
    <n v="11776.5"/>
    <n v="31150"/>
    <s v="David"/>
    <s v="Rowbottom"/>
    <x v="5"/>
    <s v="GOA01"/>
    <d v="2010-07-06T00:00:00"/>
    <s v="QLD Manufacturing"/>
    <x v="0"/>
    <x v="1"/>
    <x v="1"/>
    <x v="1"/>
    <x v="0"/>
    <x v="1"/>
    <x v="2"/>
    <x v="0"/>
    <x v="0"/>
    <x v="0"/>
    <x v="0"/>
    <n v="16527.61"/>
  </r>
  <r>
    <s v="P1001161"/>
    <x v="7"/>
    <s v="IGE10041"/>
    <x v="6"/>
    <x v="1"/>
    <s v="Upgrade Suspension Cable Turnbuckles"/>
    <x v="7"/>
    <x v="0"/>
    <n v="61501"/>
    <n v="34683.49"/>
    <n v="0"/>
    <n v="15746"/>
    <n v="50429.49"/>
    <s v="Ankur"/>
    <s v="Barua"/>
    <x v="5"/>
    <s v="GEO3"/>
    <d v="2010-07-06T00:00:00"/>
    <s v="Geelong Manufacturing"/>
    <x v="2"/>
    <x v="1"/>
    <x v="1"/>
    <x v="1"/>
    <x v="0"/>
    <x v="1"/>
    <x v="2"/>
    <x v="0"/>
    <x v="0"/>
    <x v="0"/>
    <x v="0"/>
    <n v="0"/>
  </r>
  <r>
    <s v="P1001162"/>
    <x v="7"/>
    <s v="IGE10037"/>
    <x v="6"/>
    <x v="1"/>
    <s v="SG Measurement for Dens Scrubber"/>
    <x v="7"/>
    <x v="0"/>
    <n v="107862"/>
    <n v="53580.01"/>
    <n v="0"/>
    <n v="44427"/>
    <n v="98007.01"/>
    <s v="Ankur"/>
    <s v="Barua"/>
    <x v="5"/>
    <s v="GEO3"/>
    <d v="2010-07-06T00:00:00"/>
    <s v="Geelong Manufacturing"/>
    <x v="2"/>
    <x v="1"/>
    <x v="1"/>
    <x v="1"/>
    <x v="0"/>
    <x v="1"/>
    <x v="2"/>
    <x v="0"/>
    <x v="0"/>
    <x v="0"/>
    <x v="0"/>
    <n v="690"/>
  </r>
  <r>
    <s v="P1001167"/>
    <x v="7"/>
    <s v="IGE10040"/>
    <x v="6"/>
    <x v="1"/>
    <s v="GE0142 Granulation Building Wall Cladding - S3"/>
    <x v="2"/>
    <x v="0"/>
    <n v="952595"/>
    <n v="240225.21"/>
    <n v="0"/>
    <n v="549645.43000000005"/>
    <n v="789870.64"/>
    <s v="Raffaele"/>
    <s v="D'agostino"/>
    <x v="5"/>
    <s v="GES01"/>
    <d v="2010-07-07T00:00:00"/>
    <s v="Geelong Manufacturing"/>
    <x v="2"/>
    <x v="1"/>
    <x v="0"/>
    <x v="0"/>
    <x v="0"/>
    <x v="1"/>
    <x v="2"/>
    <x v="0"/>
    <x v="0"/>
    <x v="0"/>
    <x v="0"/>
    <n v="20338.61"/>
  </r>
  <r>
    <s v="P1001168"/>
    <x v="7"/>
    <s v="IGE10039"/>
    <x v="6"/>
    <x v="1"/>
    <s v="GE0138 Liquids Storage  Blending And Despatch"/>
    <x v="9"/>
    <x v="0"/>
    <n v="589653"/>
    <n v="227718.71"/>
    <n v="12044.05"/>
    <n v="333787.42"/>
    <n v="561506.13"/>
    <s v="Bill"/>
    <s v="Dickers"/>
    <x v="5"/>
    <s v="GE03"/>
    <d v="2010-07-07T00:00:00"/>
    <s v="Geelong Manufacturing"/>
    <x v="2"/>
    <x v="1"/>
    <x v="1"/>
    <x v="1"/>
    <x v="0"/>
    <x v="1"/>
    <x v="2"/>
    <x v="0"/>
    <x v="2"/>
    <x v="0"/>
    <x v="0"/>
    <n v="35566.68"/>
  </r>
  <r>
    <s v="P1001174"/>
    <x v="7"/>
    <s v="INO10017"/>
    <x v="3"/>
    <x v="1"/>
    <s v="Townsville PDC - Build new workshop"/>
    <x v="5"/>
    <x v="0"/>
    <n v="48195"/>
    <n v="23549.46"/>
    <n v="0"/>
    <n v="27923.93"/>
    <n v="51473.39"/>
    <s v="David"/>
    <s v="Collins"/>
    <x v="5"/>
    <s v="FWT01"/>
    <d v="2010-07-12T00:00:00"/>
    <s v="Distribution Northern - Q"/>
    <x v="0"/>
    <x v="1"/>
    <x v="0"/>
    <x v="0"/>
    <x v="0"/>
    <x v="1"/>
    <x v="2"/>
    <x v="0"/>
    <x v="0"/>
    <x v="0"/>
    <x v="0"/>
    <n v="0"/>
  </r>
  <r>
    <s v="P1001177"/>
    <x v="7"/>
    <s v="ICM10002"/>
    <x v="10"/>
    <x v="1"/>
    <s v="Customer Service Make Good"/>
    <x v="3"/>
    <x v="0"/>
    <n v="124500"/>
    <n v="844"/>
    <n v="0"/>
    <n v="210266.12"/>
    <n v="211110.12"/>
    <s v="Richard"/>
    <s v="Ibbott"/>
    <x v="5"/>
    <s v="FRD05"/>
    <d v="2010-07-12T00:00:00"/>
    <s v="Sales / Customer Service"/>
    <x v="0"/>
    <x v="1"/>
    <x v="0"/>
    <x v="0"/>
    <x v="0"/>
    <x v="1"/>
    <x v="2"/>
    <x v="0"/>
    <x v="0"/>
    <x v="0"/>
    <x v="0"/>
    <n v="0"/>
  </r>
  <r>
    <s v="P1001184"/>
    <x v="7"/>
    <s v="IGE10044"/>
    <x v="6"/>
    <x v="1"/>
    <s v="GE0137 - No.3 Rock Shed Leakage"/>
    <x v="2"/>
    <x v="0"/>
    <n v="180813"/>
    <n v="34805.410000000003"/>
    <n v="0"/>
    <n v="113943.63"/>
    <n v="148749.04"/>
    <s v="Raffaele"/>
    <s v="D'agostino"/>
    <x v="5"/>
    <s v="GES01"/>
    <d v="2010-07-19T00:00:00"/>
    <s v="Geelong Manufacturing"/>
    <x v="2"/>
    <x v="1"/>
    <x v="1"/>
    <x v="1"/>
    <x v="0"/>
    <x v="1"/>
    <x v="2"/>
    <x v="0"/>
    <x v="0"/>
    <x v="0"/>
    <x v="0"/>
    <n v="85"/>
  </r>
  <r>
    <s v="P1001185"/>
    <x v="7"/>
    <s v="IGE10042"/>
    <x v="6"/>
    <x v="1"/>
    <s v="GE0089 Dryer PLC Upgrade"/>
    <x v="3"/>
    <x v="0"/>
    <n v="259843"/>
    <n v="155821.17000000001"/>
    <n v="18751.169999999998"/>
    <n v="48071"/>
    <n v="203892.17"/>
    <s v="Paul"/>
    <s v="Farrell"/>
    <x v="5"/>
    <s v="GES01"/>
    <d v="2010-07-19T00:00:00"/>
    <s v="Geelong Manufacturing"/>
    <x v="2"/>
    <x v="1"/>
    <x v="1"/>
    <x v="1"/>
    <x v="0"/>
    <x v="1"/>
    <x v="2"/>
    <x v="0"/>
    <x v="0"/>
    <x v="0"/>
    <x v="0"/>
    <n v="28351.17"/>
  </r>
  <r>
    <s v="P1001186"/>
    <x v="7"/>
    <s v="IGE10043"/>
    <x v="6"/>
    <x v="1"/>
    <s v="GEMC10-006 O/S Screens Outlets and False Floor"/>
    <x v="3"/>
    <x v="0"/>
    <n v="251579"/>
    <n v="114549.7"/>
    <n v="450"/>
    <n v="65544"/>
    <n v="180093.7"/>
    <s v="Steve"/>
    <s v="Agiejew"/>
    <x v="5"/>
    <s v="GES03"/>
    <d v="2010-07-19T00:00:00"/>
    <s v="Geelong Manufacturing"/>
    <x v="2"/>
    <x v="1"/>
    <x v="1"/>
    <x v="1"/>
    <x v="0"/>
    <x v="1"/>
    <x v="2"/>
    <x v="0"/>
    <x v="0"/>
    <x v="0"/>
    <x v="0"/>
    <n v="53669.24"/>
  </r>
  <r>
    <s v="P1001187"/>
    <x v="6"/>
    <s v="IGA10017"/>
    <x v="2"/>
    <x v="2"/>
    <s v="GIW - R612 Isolation Valve Upgrade IP-GI-09-0111"/>
    <x v="2"/>
    <x v="0"/>
    <n v="96803"/>
    <n v="59389.8"/>
    <n v="50074.76"/>
    <n v="12170"/>
    <n v="71559.8"/>
    <s v="Todd"/>
    <s v="Mclennan"/>
    <x v="5"/>
    <s v="GOA01"/>
    <d v="2010-07-19T00:00:00"/>
    <s v="QLD Manufacturing"/>
    <x v="0"/>
    <x v="1"/>
    <x v="1"/>
    <x v="1"/>
    <x v="0"/>
    <x v="1"/>
    <x v="2"/>
    <x v="0"/>
    <x v="0"/>
    <x v="0"/>
    <x v="0"/>
    <n v="56769.01"/>
  </r>
  <r>
    <s v="P1001194"/>
    <x v="3"/>
    <s v="P1001194"/>
    <x v="1"/>
    <x v="1"/>
    <s v="Unknown"/>
    <x v="0"/>
    <x v="0"/>
    <n v="0"/>
    <n v="-26784.639999999999"/>
    <n v="0"/>
    <n v="0"/>
    <n v="-26784.639999999999"/>
    <m/>
    <m/>
    <x v="0"/>
    <m/>
    <d v="1899-12-30T00:00:00"/>
    <m/>
    <x v="1"/>
    <x v="0"/>
    <x v="0"/>
    <x v="1"/>
    <x v="0"/>
    <x v="0"/>
    <x v="1"/>
    <x v="0"/>
    <x v="0"/>
    <x v="0"/>
    <x v="0"/>
    <n v="0"/>
  </r>
  <r>
    <s v="P1001194"/>
    <x v="1"/>
    <s v="SPO10001.280"/>
    <x v="1"/>
    <x v="1"/>
    <s v="Waste Segregation Bins."/>
    <x v="2"/>
    <x v="0"/>
    <n v="26800"/>
    <n v="26784.639999999999"/>
    <n v="0"/>
    <n v="0"/>
    <n v="26784.639999999999"/>
    <s v="David"/>
    <s v="Zeller"/>
    <x v="5"/>
    <s v="STZ03"/>
    <d v="2010-07-21T00:00:00"/>
    <s v="Phos Hill Manufacturing"/>
    <x v="0"/>
    <x v="1"/>
    <x v="1"/>
    <x v="1"/>
    <x v="0"/>
    <x v="1"/>
    <x v="2"/>
    <x v="0"/>
    <x v="0"/>
    <x v="0"/>
    <x v="0"/>
    <n v="0"/>
  </r>
  <r>
    <s v="P1001195"/>
    <x v="1"/>
    <s v="SPO10001.290"/>
    <x v="1"/>
    <x v="1"/>
    <s v="Storage Containers - Phosphate Hill"/>
    <x v="5"/>
    <x v="0"/>
    <n v="25000"/>
    <n v="5000"/>
    <n v="0"/>
    <n v="20000"/>
    <n v="25000"/>
    <s v="David"/>
    <s v="Zeller"/>
    <x v="5"/>
    <s v="SPZ06"/>
    <d v="2010-07-21T00:00:00"/>
    <s v="Phos Hill Manufacturing"/>
    <x v="0"/>
    <x v="1"/>
    <x v="1"/>
    <x v="1"/>
    <x v="0"/>
    <x v="1"/>
    <x v="2"/>
    <x v="0"/>
    <x v="0"/>
    <x v="0"/>
    <x v="0"/>
    <n v="0"/>
  </r>
  <r>
    <s v="P1001234"/>
    <x v="7"/>
    <s v="ICM10003"/>
    <x v="10"/>
    <x v="5"/>
    <s v="NAA Safari Project"/>
    <x v="10"/>
    <x v="0"/>
    <n v="312440"/>
    <n v="155220.78"/>
    <n v="21625.96"/>
    <n v="129108.23"/>
    <n v="284329.01"/>
    <s v="Charlie"/>
    <s v="Walker"/>
    <x v="5"/>
    <s v="FMT11"/>
    <d v="2010-08-02T00:00:00"/>
    <s v="Marketing - Vic"/>
    <x v="2"/>
    <x v="1"/>
    <x v="1"/>
    <x v="1"/>
    <x v="0"/>
    <x v="1"/>
    <x v="2"/>
    <x v="0"/>
    <x v="0"/>
    <x v="0"/>
    <x v="0"/>
    <n v="70062.98"/>
  </r>
  <r>
    <s v="P1001235"/>
    <x v="1"/>
    <s v="SPO10001.320"/>
    <x v="1"/>
    <x v="1"/>
    <s v="Gas Chromatograph Upgrade"/>
    <x v="3"/>
    <x v="0"/>
    <n v="26000"/>
    <n v="21477.599999999999"/>
    <n v="0"/>
    <n v="0"/>
    <n v="21477.599999999999"/>
    <s v="Philip"/>
    <s v="Chapman"/>
    <x v="5"/>
    <s v="SPZ08"/>
    <d v="2010-08-03T00:00:00"/>
    <s v="Phos Hill Manufacturing"/>
    <x v="0"/>
    <x v="1"/>
    <x v="1"/>
    <x v="1"/>
    <x v="0"/>
    <x v="1"/>
    <x v="2"/>
    <x v="0"/>
    <x v="0"/>
    <x v="0"/>
    <x v="0"/>
    <n v="21477.599999999999"/>
  </r>
  <r>
    <s v="P1001238"/>
    <x v="6"/>
    <s v="IGG10003"/>
    <x v="2"/>
    <x v="4"/>
    <s v="Granulation Plant Asset Renewal FY10"/>
    <x v="3"/>
    <x v="0"/>
    <n v="408482"/>
    <n v="148719.97"/>
    <n v="0"/>
    <n v="262036.73"/>
    <n v="410756.7"/>
    <s v="Zim"/>
    <s v="Solo"/>
    <x v="5"/>
    <s v="GOG06"/>
    <d v="2010-08-04T00:00:00"/>
    <s v="QLD Manufacturing"/>
    <x v="0"/>
    <x v="1"/>
    <x v="0"/>
    <x v="0"/>
    <x v="0"/>
    <x v="1"/>
    <x v="2"/>
    <x v="0"/>
    <x v="0"/>
    <x v="0"/>
    <x v="0"/>
    <n v="67976.19"/>
  </r>
  <r>
    <s v="P1001239"/>
    <x v="6"/>
    <s v="IGA10018"/>
    <x v="2"/>
    <x v="2"/>
    <s v="GI SD Works Nat Gas Remote Isolation"/>
    <x v="2"/>
    <x v="0"/>
    <n v="350576"/>
    <n v="75083.27"/>
    <n v="36404.5"/>
    <n v="52696.65"/>
    <n v="127779.92"/>
    <s v="Phillip"/>
    <s v="Clarke"/>
    <x v="5"/>
    <s v="GOA01"/>
    <d v="2010-08-04T00:00:00"/>
    <s v="QLD Manufacturing"/>
    <x v="0"/>
    <x v="1"/>
    <x v="1"/>
    <x v="1"/>
    <x v="0"/>
    <x v="1"/>
    <x v="2"/>
    <x v="0"/>
    <x v="0"/>
    <x v="0"/>
    <x v="0"/>
    <n v="78508.2"/>
  </r>
  <r>
    <s v="P1001240"/>
    <x v="6"/>
    <s v="IGA10022"/>
    <x v="2"/>
    <x v="2"/>
    <s v="GI Works C604 240V trips"/>
    <x v="2"/>
    <x v="0"/>
    <n v="173387"/>
    <n v="106504.98"/>
    <n v="31079.73"/>
    <n v="42089"/>
    <n v="148593.98000000001"/>
    <s v="Phillip"/>
    <s v="Clarke"/>
    <x v="5"/>
    <s v="GOA01"/>
    <d v="2010-08-04T00:00:00"/>
    <s v="QLD Manufacturing"/>
    <x v="0"/>
    <x v="1"/>
    <x v="1"/>
    <x v="1"/>
    <x v="0"/>
    <x v="1"/>
    <x v="2"/>
    <x v="0"/>
    <x v="0"/>
    <x v="0"/>
    <x v="0"/>
    <n v="84017.48"/>
  </r>
  <r>
    <s v="P1001242"/>
    <x v="6"/>
    <s v="IGA10019"/>
    <x v="2"/>
    <x v="2"/>
    <s v="GI Works C601 Transfer to Triconex"/>
    <x v="2"/>
    <x v="0"/>
    <n v="275997"/>
    <n v="160633.35999999999"/>
    <n v="28516.07"/>
    <n v="73170.03"/>
    <n v="233803.39"/>
    <s v="Phillip"/>
    <s v="Clarke"/>
    <x v="5"/>
    <s v="GOA01"/>
    <d v="2010-08-04T00:00:00"/>
    <s v="QLD Manufacturing"/>
    <x v="0"/>
    <x v="1"/>
    <x v="1"/>
    <x v="1"/>
    <x v="0"/>
    <x v="1"/>
    <x v="2"/>
    <x v="0"/>
    <x v="0"/>
    <x v="0"/>
    <x v="0"/>
    <n v="95455.53"/>
  </r>
  <r>
    <s v="P1001244"/>
    <x v="6"/>
    <s v="IGU10010"/>
    <x v="2"/>
    <x v="2"/>
    <s v="R701 Tell Tale Access Platforms"/>
    <x v="2"/>
    <x v="0"/>
    <n v="145538"/>
    <n v="61984.480000000003"/>
    <n v="20979.599999999999"/>
    <n v="29448"/>
    <n v="91432.48"/>
    <s v="Khe"/>
    <s v="Tan"/>
    <x v="5"/>
    <s v="GOU01"/>
    <d v="2010-08-04T00:00:00"/>
    <s v="QLD Manufacturing"/>
    <x v="0"/>
    <x v="1"/>
    <x v="1"/>
    <x v="1"/>
    <x v="0"/>
    <x v="1"/>
    <x v="2"/>
    <x v="0"/>
    <x v="0"/>
    <x v="0"/>
    <x v="0"/>
    <n v="23401.55"/>
  </r>
  <r>
    <s v="P1001245"/>
    <x v="6"/>
    <s v="IGA10021"/>
    <x v="2"/>
    <x v="1"/>
    <s v="Building 127 Roof Replacement"/>
    <x v="5"/>
    <x v="0"/>
    <n v="198295"/>
    <n v="30908.47"/>
    <n v="0"/>
    <n v="169562.53"/>
    <n v="200471"/>
    <s v="Peter"/>
    <s v="Vollert"/>
    <x v="5"/>
    <s v="GOA01"/>
    <d v="2010-08-04T00:00:00"/>
    <s v="QLD Manufacturing"/>
    <x v="0"/>
    <x v="1"/>
    <x v="8"/>
    <x v="8"/>
    <x v="0"/>
    <x v="2"/>
    <x v="2"/>
    <x v="0"/>
    <x v="0"/>
    <x v="0"/>
    <x v="0"/>
    <n v="10432.82"/>
  </r>
  <r>
    <s v="P1001246"/>
    <x v="6"/>
    <s v="IGU10009"/>
    <x v="2"/>
    <x v="2"/>
    <s v="D706 Modifications"/>
    <x v="3"/>
    <x v="0"/>
    <n v="335119"/>
    <n v="138599.06"/>
    <n v="53326.05"/>
    <n v="59956.39"/>
    <n v="198555.45"/>
    <s v="Khe"/>
    <s v="Tan"/>
    <x v="5"/>
    <s v="GOU01"/>
    <d v="2010-08-04T00:00:00"/>
    <s v="QLD Manufacturing"/>
    <x v="0"/>
    <x v="1"/>
    <x v="1"/>
    <x v="1"/>
    <x v="0"/>
    <x v="1"/>
    <x v="2"/>
    <x v="0"/>
    <x v="0"/>
    <x v="0"/>
    <x v="0"/>
    <n v="83840.990000000005"/>
  </r>
  <r>
    <s v="P1001247"/>
    <x v="6"/>
    <s v="IGA10023"/>
    <x v="2"/>
    <x v="2"/>
    <s v="GIW - RACV Upgrade"/>
    <x v="2"/>
    <x v="0"/>
    <n v="99539"/>
    <n v="44258.239999999998"/>
    <n v="23864.91"/>
    <n v="32889.5"/>
    <n v="77147.740000000005"/>
    <s v="Brad"/>
    <s v="Love"/>
    <x v="5"/>
    <s v="GOA01"/>
    <d v="2010-08-04T00:00:00"/>
    <s v="QLD Manufacturing"/>
    <x v="0"/>
    <x v="1"/>
    <x v="1"/>
    <x v="1"/>
    <x v="0"/>
    <x v="1"/>
    <x v="2"/>
    <x v="0"/>
    <x v="0"/>
    <x v="0"/>
    <x v="0"/>
    <n v="32641.09"/>
  </r>
  <r>
    <s v="P1001248"/>
    <x v="7"/>
    <s v="IGE10045"/>
    <x v="6"/>
    <x v="1"/>
    <s v="GE0136 Geelong Weighbridge Extension"/>
    <x v="3"/>
    <x v="0"/>
    <n v="174009"/>
    <n v="119300.65"/>
    <n v="8482.5"/>
    <n v="11220"/>
    <n v="130520.65"/>
    <s v="Raffaele"/>
    <s v="D'agostino"/>
    <x v="5"/>
    <s v="GES01"/>
    <d v="2010-08-04T00:00:00"/>
    <s v="Geelong PDC"/>
    <x v="2"/>
    <x v="1"/>
    <x v="1"/>
    <x v="1"/>
    <x v="0"/>
    <x v="1"/>
    <x v="2"/>
    <x v="0"/>
    <x v="0"/>
    <x v="0"/>
    <x v="0"/>
    <n v="14952.18"/>
  </r>
  <r>
    <s v="P1001249"/>
    <x v="6"/>
    <s v="IGA10027"/>
    <x v="2"/>
    <x v="1"/>
    <s v="GIW # Replace/Upgrade HV6382"/>
    <x v="3"/>
    <x v="0"/>
    <n v="95318"/>
    <n v="18660.080000000002"/>
    <n v="17205.509999999998"/>
    <n v="0"/>
    <n v="18660.080000000002"/>
    <s v="David"/>
    <s v="Rowbottom"/>
    <x v="5"/>
    <s v="GOA01"/>
    <d v="2010-08-04T00:00:00"/>
    <s v="QLD Manufacturing"/>
    <x v="0"/>
    <x v="1"/>
    <x v="1"/>
    <x v="1"/>
    <x v="0"/>
    <x v="1"/>
    <x v="2"/>
    <x v="0"/>
    <x v="0"/>
    <x v="0"/>
    <x v="0"/>
    <n v="18660.080000000002"/>
  </r>
  <r>
    <s v="P1001250"/>
    <x v="6"/>
    <s v="IGA10026"/>
    <x v="2"/>
    <x v="2"/>
    <s v="GIW # Upgrade UV6552 Process Air Valve to R602"/>
    <x v="5"/>
    <x v="0"/>
    <n v="103073"/>
    <n v="82890.929999999993"/>
    <n v="79070.62"/>
    <n v="4790"/>
    <n v="87680.93"/>
    <s v="David"/>
    <s v="Rowbottom"/>
    <x v="5"/>
    <s v="GOA01"/>
    <d v="2010-08-04T00:00:00"/>
    <s v="QLD Manufacturing"/>
    <x v="0"/>
    <x v="1"/>
    <x v="1"/>
    <x v="1"/>
    <x v="0"/>
    <x v="1"/>
    <x v="2"/>
    <x v="0"/>
    <x v="0"/>
    <x v="0"/>
    <x v="0"/>
    <n v="80590.81"/>
  </r>
  <r>
    <s v="P1001253"/>
    <x v="6"/>
    <s v="IGA10020"/>
    <x v="2"/>
    <x v="2"/>
    <s v="GI SD R601 Reformer Burner management"/>
    <x v="2"/>
    <x v="0"/>
    <n v="2338378"/>
    <n v="1688860.3"/>
    <n v="428089.67"/>
    <n v="407112.97"/>
    <n v="2095973.27"/>
    <s v="John"/>
    <s v="Mccullough"/>
    <x v="5"/>
    <s v="GOA01"/>
    <d v="2010-08-05T00:00:00"/>
    <s v="QLD Manufacturing"/>
    <x v="0"/>
    <x v="1"/>
    <x v="1"/>
    <x v="1"/>
    <x v="0"/>
    <x v="1"/>
    <x v="2"/>
    <x v="0"/>
    <x v="0"/>
    <x v="2"/>
    <x v="0"/>
    <n v="1029497.12"/>
  </r>
  <r>
    <s v="P1001254"/>
    <x v="6"/>
    <s v="IGU10011"/>
    <x v="2"/>
    <x v="2"/>
    <s v="R701 Modify Basket"/>
    <x v="1"/>
    <x v="0"/>
    <n v="263965"/>
    <n v="22131.96"/>
    <n v="0"/>
    <n v="30247.5"/>
    <n v="52379.46"/>
    <s v="Craig"/>
    <s v="Ross"/>
    <x v="5"/>
    <s v="GOU01"/>
    <d v="2010-08-05T00:00:00"/>
    <s v="QLD Manufacturing"/>
    <x v="0"/>
    <x v="1"/>
    <x v="1"/>
    <x v="1"/>
    <x v="0"/>
    <x v="1"/>
    <x v="2"/>
    <x v="0"/>
    <x v="0"/>
    <x v="0"/>
    <x v="0"/>
    <n v="7341.6"/>
  </r>
  <r>
    <s v="P1001255"/>
    <x v="6"/>
    <s v="IGA10024"/>
    <x v="2"/>
    <x v="2"/>
    <s v="GIW - R605 Temperature Overrun Mitigation"/>
    <x v="2"/>
    <x v="0"/>
    <n v="403405"/>
    <n v="261020.01"/>
    <n v="80004.12"/>
    <n v="87196"/>
    <n v="348216.01"/>
    <s v="Brad"/>
    <s v="Love"/>
    <x v="5"/>
    <s v="GOA01"/>
    <d v="2010-08-05T00:00:00"/>
    <s v="QLD Manufacturing"/>
    <x v="0"/>
    <x v="1"/>
    <x v="1"/>
    <x v="1"/>
    <x v="0"/>
    <x v="1"/>
    <x v="2"/>
    <x v="0"/>
    <x v="0"/>
    <x v="0"/>
    <x v="0"/>
    <n v="197327.72"/>
  </r>
  <r>
    <s v="P1001257"/>
    <x v="1"/>
    <s v="SPO10021"/>
    <x v="1"/>
    <x v="1"/>
    <s v="Phos Hill DCS - OPC Replacement"/>
    <x v="5"/>
    <x v="0"/>
    <n v="105000"/>
    <n v="31032.7"/>
    <n v="65"/>
    <n v="35578.910000000003"/>
    <n v="66611.61"/>
    <s v="Grant"/>
    <s v="Godkin"/>
    <x v="5"/>
    <s v="SPE01"/>
    <d v="2010-08-06T00:00:00"/>
    <s v="Phos Hill Manufacturing"/>
    <x v="0"/>
    <x v="1"/>
    <x v="1"/>
    <x v="1"/>
    <x v="0"/>
    <x v="1"/>
    <x v="2"/>
    <x v="0"/>
    <x v="0"/>
    <x v="0"/>
    <x v="0"/>
    <n v="7718.52"/>
  </r>
  <r>
    <s v="P1001260"/>
    <x v="7"/>
    <s v="IPM10015"/>
    <x v="4"/>
    <x v="1"/>
    <s v="Void Tower Two Replacement"/>
    <x v="5"/>
    <x v="0"/>
    <n v="432000"/>
    <n v="376327.75"/>
    <n v="2993"/>
    <n v="59303.83"/>
    <n v="435631.58"/>
    <s v="Karl"/>
    <s v="Nowakowski"/>
    <x v="5"/>
    <s v="PTS01"/>
    <d v="2010-08-12T00:00:00"/>
    <s v="Portland Manufacturing"/>
    <x v="2"/>
    <x v="1"/>
    <x v="1"/>
    <x v="1"/>
    <x v="0"/>
    <x v="2"/>
    <x v="2"/>
    <x v="0"/>
    <x v="0"/>
    <x v="0"/>
    <x v="0"/>
    <n v="4436.79"/>
  </r>
  <r>
    <s v="P1001261"/>
    <x v="6"/>
    <s v="IGA10025"/>
    <x v="2"/>
    <x v="2"/>
    <s v="GIW- Shutdown Power distribution system"/>
    <x v="7"/>
    <x v="0"/>
    <n v="589176"/>
    <n v="464661.38"/>
    <n v="-117000"/>
    <n v="79717.490000000005"/>
    <n v="544378.87"/>
    <s v="Craig"/>
    <s v="Williscroft"/>
    <x v="5"/>
    <s v="GOA-0"/>
    <d v="2010-08-12T00:00:00"/>
    <s v="QLD Manufacturing"/>
    <x v="0"/>
    <x v="1"/>
    <x v="1"/>
    <x v="1"/>
    <x v="0"/>
    <x v="1"/>
    <x v="2"/>
    <x v="0"/>
    <x v="0"/>
    <x v="0"/>
    <x v="0"/>
    <n v="90246.38"/>
  </r>
  <r>
    <s v="P1001264"/>
    <x v="6"/>
    <s v="IGA10007"/>
    <x v="2"/>
    <x v="2"/>
    <s v="GI Works NH3 Substation Replacement"/>
    <x v="2"/>
    <x v="0"/>
    <n v="3517482"/>
    <n v="2563883"/>
    <n v="195186.37"/>
    <n v="305731.20000000001"/>
    <n v="2869614.2"/>
    <s v="John"/>
    <s v="Mccullough"/>
    <x v="5"/>
    <s v="GOA01"/>
    <d v="2010-08-16T00:00:00"/>
    <s v="QLD Manufacturing"/>
    <x v="0"/>
    <x v="1"/>
    <x v="1"/>
    <x v="1"/>
    <x v="0"/>
    <x v="1"/>
    <x v="2"/>
    <x v="0"/>
    <x v="0"/>
    <x v="2"/>
    <x v="0"/>
    <n v="1280345.3899999999"/>
  </r>
  <r>
    <s v="P1001271"/>
    <x v="1"/>
    <s v="SPO10023"/>
    <x v="1"/>
    <x v="1"/>
    <s v="Phos Hill DCS - ICS Replacement"/>
    <x v="5"/>
    <x v="0"/>
    <n v="260000"/>
    <n v="66453.259999999995"/>
    <n v="19.68"/>
    <n v="164640"/>
    <n v="231093.26"/>
    <s v="Grant"/>
    <s v="Godkin"/>
    <x v="5"/>
    <s v="SPE01"/>
    <d v="2010-08-17T00:00:00"/>
    <s v="Phos Hill Manufacturing"/>
    <x v="0"/>
    <x v="1"/>
    <x v="1"/>
    <x v="1"/>
    <x v="0"/>
    <x v="1"/>
    <x v="2"/>
    <x v="0"/>
    <x v="0"/>
    <x v="0"/>
    <x v="0"/>
    <n v="1329.22"/>
  </r>
  <r>
    <s v="P1001272"/>
    <x v="3"/>
    <s v="P1001272"/>
    <x v="1"/>
    <x v="1"/>
    <s v="Unknown"/>
    <x v="0"/>
    <x v="0"/>
    <n v="0"/>
    <n v="16925.7"/>
    <n v="0"/>
    <n v="0"/>
    <n v="16925.7"/>
    <m/>
    <m/>
    <x v="0"/>
    <m/>
    <d v="1899-12-30T00:00:00"/>
    <m/>
    <x v="1"/>
    <x v="0"/>
    <x v="0"/>
    <x v="1"/>
    <x v="0"/>
    <x v="0"/>
    <x v="1"/>
    <x v="0"/>
    <x v="0"/>
    <x v="0"/>
    <x v="0"/>
    <n v="0"/>
  </r>
  <r>
    <s v="P1001303"/>
    <x v="3"/>
    <s v="IFI10009"/>
    <x v="8"/>
    <x v="6"/>
    <s v="Hyperion Consolidation Tool"/>
    <x v="10"/>
    <x v="0"/>
    <n v="680000"/>
    <n v="125144.45"/>
    <n v="2151"/>
    <n v="556132.04"/>
    <n v="681276.49"/>
    <s v="Chris"/>
    <s v="Opperman"/>
    <x v="5"/>
    <s v="ZA001"/>
    <d v="2010-08-24T00:00:00"/>
    <s v="Finance - Soft"/>
    <x v="2"/>
    <x v="1"/>
    <x v="1"/>
    <x v="1"/>
    <x v="0"/>
    <x v="2"/>
    <x v="2"/>
    <x v="0"/>
    <x v="0"/>
    <x v="0"/>
    <x v="0"/>
    <n v="24806.55"/>
  </r>
  <r>
    <s v="P1001305"/>
    <x v="7"/>
    <s v="INO10004.90"/>
    <x v="3"/>
    <x v="1"/>
    <s v="Cairns-40kg surge hopper"/>
    <x v="5"/>
    <x v="0"/>
    <n v="48000"/>
    <n v="47793.06"/>
    <n v="712.5"/>
    <n v="1547.2"/>
    <n v="49340.26"/>
    <s v="Paul"/>
    <s v="Rylewski"/>
    <x v="5"/>
    <s v="FWC11"/>
    <d v="2010-08-25T00:00:00"/>
    <s v="Distribution Northern - Q"/>
    <x v="0"/>
    <x v="1"/>
    <x v="1"/>
    <x v="1"/>
    <x v="0"/>
    <x v="1"/>
    <x v="2"/>
    <x v="0"/>
    <x v="0"/>
    <x v="0"/>
    <x v="0"/>
    <n v="3042.47"/>
  </r>
  <r>
    <s v="P1001306"/>
    <x v="7"/>
    <s v="INO10004.80"/>
    <x v="3"/>
    <x v="1"/>
    <s v="Cairns-40kg to 25kg bagging"/>
    <x v="2"/>
    <x v="0"/>
    <n v="45000"/>
    <n v="33078.44"/>
    <n v="12557.45"/>
    <n v="0"/>
    <n v="33078.44"/>
    <s v="Paul"/>
    <s v="Rylewski"/>
    <x v="5"/>
    <s v="FWC11"/>
    <d v="2010-08-25T00:00:00"/>
    <s v="Distribution Northern - Q"/>
    <x v="0"/>
    <x v="1"/>
    <x v="1"/>
    <x v="1"/>
    <x v="0"/>
    <x v="1"/>
    <x v="2"/>
    <x v="0"/>
    <x v="0"/>
    <x v="0"/>
    <x v="0"/>
    <n v="33078.44"/>
  </r>
  <r>
    <s v="P1001332"/>
    <x v="6"/>
    <s v="IGA10028"/>
    <x v="2"/>
    <x v="2"/>
    <s v="GIW 2011 SD - SB604 Level Trip"/>
    <x v="2"/>
    <x v="0"/>
    <n v="48583"/>
    <n v="18589.5"/>
    <n v="7248.95"/>
    <n v="10470"/>
    <n v="29059.5"/>
    <s v="Todd"/>
    <s v="Mclennan"/>
    <x v="5"/>
    <s v="G0A01"/>
    <d v="2010-09-06T00:00:00"/>
    <s v="QLD Manufacturing"/>
    <x v="0"/>
    <x v="1"/>
    <x v="1"/>
    <x v="1"/>
    <x v="0"/>
    <x v="1"/>
    <x v="2"/>
    <x v="0"/>
    <x v="0"/>
    <x v="0"/>
    <x v="0"/>
    <n v="11412"/>
  </r>
  <r>
    <s v="P1001333"/>
    <x v="6"/>
    <s v="IGO10001.310"/>
    <x v="2"/>
    <x v="1"/>
    <s v="Safety Structure To Fill T7101"/>
    <x v="2"/>
    <x v="0"/>
    <n v="47868"/>
    <n v="834"/>
    <n v="0"/>
    <n v="25410.6"/>
    <n v="26244.6"/>
    <s v="Con"/>
    <s v="Lamari"/>
    <x v="5"/>
    <s v="GOU01"/>
    <d v="2010-09-06T00:00:00"/>
    <s v="QLD Manufacturing"/>
    <x v="0"/>
    <x v="1"/>
    <x v="1"/>
    <x v="1"/>
    <x v="0"/>
    <x v="1"/>
    <x v="2"/>
    <x v="0"/>
    <x v="0"/>
    <x v="0"/>
    <x v="0"/>
    <n v="0"/>
  </r>
  <r>
    <s v="P1001334"/>
    <x v="6"/>
    <s v="IGU10012"/>
    <x v="2"/>
    <x v="2"/>
    <s v="PHV2009 Actuator Replacement"/>
    <x v="5"/>
    <x v="0"/>
    <n v="29565"/>
    <n v="21717.07"/>
    <n v="21717.07"/>
    <n v="0"/>
    <n v="21717.07"/>
    <s v="Kane"/>
    <s v="Ivers"/>
    <x v="5"/>
    <s v="GOU01"/>
    <d v="2010-09-06T00:00:00"/>
    <s v="QLD Manufacturing"/>
    <x v="0"/>
    <x v="1"/>
    <x v="1"/>
    <x v="1"/>
    <x v="0"/>
    <x v="1"/>
    <x v="2"/>
    <x v="0"/>
    <x v="0"/>
    <x v="0"/>
    <x v="0"/>
    <n v="21717.07"/>
  </r>
  <r>
    <s v="P1001339"/>
    <x v="2"/>
    <s v="SMS10009"/>
    <x v="1"/>
    <x v="1"/>
    <s v="Mt Isa Permit Hut Replacement"/>
    <x v="0"/>
    <x v="0"/>
    <n v="49470"/>
    <n v="53104"/>
    <n v="0"/>
    <n v="0"/>
    <n v="53104"/>
    <s v="Sasha"/>
    <s v="Lamont"/>
    <x v="5"/>
    <s v="SMS01"/>
    <d v="2010-09-07T00:00:00"/>
    <s v="Mt Isa"/>
    <x v="0"/>
    <x v="1"/>
    <x v="1"/>
    <x v="1"/>
    <x v="0"/>
    <x v="2"/>
    <x v="2"/>
    <x v="0"/>
    <x v="0"/>
    <x v="0"/>
    <x v="0"/>
    <n v="27526.25"/>
  </r>
  <r>
    <s v="P1001340"/>
    <x v="7"/>
    <s v="IGE10047"/>
    <x v="6"/>
    <x v="1"/>
    <s v="GEMC10-001 Acid Loading arm automation"/>
    <x v="2"/>
    <x v="0"/>
    <n v="55021"/>
    <n v="31800.65"/>
    <n v="1912.34"/>
    <n v="6952.06"/>
    <n v="38752.71"/>
    <s v="Gary"/>
    <s v="Bodnar"/>
    <x v="5"/>
    <s v="GES01"/>
    <d v="2010-09-08T00:00:00"/>
    <s v="Geelong Manufacturing"/>
    <x v="2"/>
    <x v="1"/>
    <x v="1"/>
    <x v="1"/>
    <x v="0"/>
    <x v="1"/>
    <x v="2"/>
    <x v="0"/>
    <x v="0"/>
    <x v="0"/>
    <x v="0"/>
    <n v="4354.53"/>
  </r>
  <r>
    <s v="P1001346"/>
    <x v="7"/>
    <s v="IPM10003.60"/>
    <x v="4"/>
    <x v="1"/>
    <s v="Despatch #1 Shuttle Conveyor Switchboard Upgrade"/>
    <x v="0"/>
    <x v="0"/>
    <n v="49000"/>
    <n v="37230.699999999997"/>
    <n v="3846.4"/>
    <n v="13346.4"/>
    <n v="50577.1"/>
    <s v="Karl"/>
    <s v="Nowakowski"/>
    <x v="5"/>
    <s v="FWP01"/>
    <d v="2010-09-08T00:00:00"/>
    <s v="Portland PDC"/>
    <x v="2"/>
    <x v="1"/>
    <x v="1"/>
    <x v="1"/>
    <x v="0"/>
    <x v="1"/>
    <x v="2"/>
    <x v="0"/>
    <x v="0"/>
    <x v="0"/>
    <x v="0"/>
    <n v="33956.400000000001"/>
  </r>
  <r>
    <s v="P1001350"/>
    <x v="6"/>
    <s v="IGO10001.330"/>
    <x v="2"/>
    <x v="1"/>
    <s v="Replace faulty R603 inlet valve actuator."/>
    <x v="8"/>
    <x v="0"/>
    <n v="17500"/>
    <n v="6767.35"/>
    <n v="0"/>
    <n v="11506.83"/>
    <n v="18274.18"/>
    <s v="Victor"/>
    <s v="Odman"/>
    <x v="5"/>
    <s v="GOA01"/>
    <d v="2010-09-13T00:00:00"/>
    <s v="QLD Manufacturing"/>
    <x v="0"/>
    <x v="1"/>
    <x v="1"/>
    <x v="1"/>
    <x v="0"/>
    <x v="1"/>
    <x v="2"/>
    <x v="0"/>
    <x v="0"/>
    <x v="0"/>
    <x v="0"/>
    <n v="210.02"/>
  </r>
  <r>
    <s v="P1001352"/>
    <x v="7"/>
    <s v="IPM10003.70"/>
    <x v="4"/>
    <x v="1"/>
    <s v="Acid Receival Equipment Trailer Replacements"/>
    <x v="0"/>
    <x v="0"/>
    <n v="7472"/>
    <n v="483.9"/>
    <n v="0"/>
    <n v="6861.91"/>
    <n v="7345.81"/>
    <s v="Brian"/>
    <s v="Murphy"/>
    <x v="5"/>
    <s v="PTS03"/>
    <d v="2010-09-13T00:00:00"/>
    <s v="Portland Manufacturing"/>
    <x v="2"/>
    <x v="1"/>
    <x v="1"/>
    <x v="1"/>
    <x v="0"/>
    <x v="1"/>
    <x v="2"/>
    <x v="0"/>
    <x v="0"/>
    <x v="0"/>
    <x v="0"/>
    <n v="0"/>
  </r>
  <r>
    <s v="P1001355"/>
    <x v="6"/>
    <s v="IGU10013"/>
    <x v="2"/>
    <x v="1"/>
    <s v="Urea Plant HHE Overhead Crane Upgrade"/>
    <x v="2"/>
    <x v="0"/>
    <n v="195248"/>
    <n v="93956.64"/>
    <n v="28850"/>
    <n v="100713.75"/>
    <n v="194670.39"/>
    <s v="Khe"/>
    <s v="Tan"/>
    <x v="5"/>
    <s v="GOU01"/>
    <d v="2010-09-14T00:00:00"/>
    <s v="QLD Manufacturing"/>
    <x v="0"/>
    <x v="1"/>
    <x v="1"/>
    <x v="1"/>
    <x v="0"/>
    <x v="2"/>
    <x v="2"/>
    <x v="0"/>
    <x v="0"/>
    <x v="0"/>
    <x v="0"/>
    <n v="82510.259999999995"/>
  </r>
  <r>
    <s v="P1001356"/>
    <x v="6"/>
    <s v="IGA10031"/>
    <x v="2"/>
    <x v="2"/>
    <s v="GIW R601 CETEK Coating of Radiant Refractory"/>
    <x v="0"/>
    <x v="0"/>
    <n v="250859"/>
    <n v="64576.03"/>
    <n v="15540.8"/>
    <n v="0"/>
    <n v="64576.03"/>
    <s v="David"/>
    <s v="Rowbottom"/>
    <x v="5"/>
    <s v="GOA01"/>
    <d v="2010-09-14T00:00:00"/>
    <s v="QLD Manufacturing"/>
    <x v="0"/>
    <x v="1"/>
    <x v="1"/>
    <x v="1"/>
    <x v="0"/>
    <x v="1"/>
    <x v="2"/>
    <x v="0"/>
    <x v="0"/>
    <x v="0"/>
    <x v="0"/>
    <n v="64576.03"/>
  </r>
  <r>
    <s v="P1001360"/>
    <x v="7"/>
    <s v="IGE10048"/>
    <x v="6"/>
    <x v="1"/>
    <s v="GEO152 Oyster Cove Top of Load"/>
    <x v="0"/>
    <x v="0"/>
    <n v="92647"/>
    <n v="74040.5"/>
    <n v="6203.55"/>
    <n v="11225"/>
    <n v="85265.5"/>
    <s v="Stephen"/>
    <s v="McDonald"/>
    <x v="5"/>
    <s v="FRS07"/>
    <d v="2010-09-14T00:00:00"/>
    <s v="Geelong PDC"/>
    <x v="2"/>
    <x v="1"/>
    <x v="1"/>
    <x v="1"/>
    <x v="0"/>
    <x v="1"/>
    <x v="2"/>
    <x v="0"/>
    <x v="0"/>
    <x v="0"/>
    <x v="0"/>
    <n v="9322.5499999999993"/>
  </r>
  <r>
    <s v="P1001361"/>
    <x v="6"/>
    <s v="IGA10030"/>
    <x v="2"/>
    <x v="2"/>
    <s v="GIW TP620 &amp; TP621 Overspeed Protection Upgrade"/>
    <x v="0"/>
    <x v="0"/>
    <n v="213440"/>
    <n v="116024.56"/>
    <n v="49147.23"/>
    <n v="35658"/>
    <n v="151682.56"/>
    <s v="Brad"/>
    <s v="Love"/>
    <x v="5"/>
    <s v="GOA01"/>
    <d v="2010-09-14T00:00:00"/>
    <s v="QLD Manufacturing"/>
    <x v="0"/>
    <x v="1"/>
    <x v="1"/>
    <x v="1"/>
    <x v="0"/>
    <x v="1"/>
    <x v="2"/>
    <x v="0"/>
    <x v="0"/>
    <x v="0"/>
    <x v="0"/>
    <n v="77640.05"/>
  </r>
  <r>
    <s v="P1001363"/>
    <x v="7"/>
    <s v="IPD10005"/>
    <x v="4"/>
    <x v="1"/>
    <s v="Dens Xflow Structure"/>
    <x v="0"/>
    <x v="0"/>
    <n v="127000"/>
    <n v="100032.11"/>
    <n v="0"/>
    <n v="26355.8"/>
    <n v="126387.91"/>
    <s v="Karl"/>
    <s v="Nowakowski"/>
    <x v="5"/>
    <s v="FWP01"/>
    <d v="2010-09-14T00:00:00"/>
    <s v="Portland Manufacturing"/>
    <x v="2"/>
    <x v="1"/>
    <x v="1"/>
    <x v="1"/>
    <x v="0"/>
    <x v="2"/>
    <x v="2"/>
    <x v="0"/>
    <x v="0"/>
    <x v="0"/>
    <x v="0"/>
    <n v="15760.61"/>
  </r>
  <r>
    <s v="P1001364"/>
    <x v="6"/>
    <s v="IGU10014"/>
    <x v="2"/>
    <x v="2"/>
    <s v="Urea Plant Over Pressure Protection"/>
    <x v="0"/>
    <x v="0"/>
    <n v="50113"/>
    <n v="23062.85"/>
    <n v="1980"/>
    <n v="1160"/>
    <n v="24222.85"/>
    <s v="Khe"/>
    <s v="Siang Tan"/>
    <x v="5"/>
    <s v="GOU01"/>
    <d v="2010-09-14T00:00:00"/>
    <s v="QLD Manufacturing"/>
    <x v="0"/>
    <x v="1"/>
    <x v="1"/>
    <x v="1"/>
    <x v="0"/>
    <x v="1"/>
    <x v="2"/>
    <x v="0"/>
    <x v="0"/>
    <x v="0"/>
    <x v="0"/>
    <n v="16947.650000000001"/>
  </r>
  <r>
    <s v="P1001367"/>
    <x v="6"/>
    <s v="IGO10013"/>
    <x v="2"/>
    <x v="1"/>
    <s v="GI Site Fire Protection Stage 3"/>
    <x v="0"/>
    <x v="0"/>
    <n v="951391"/>
    <n v="486473.75"/>
    <n v="119651.19"/>
    <n v="53149.26"/>
    <n v="539623.01"/>
    <s v="Craig"/>
    <s v="Ross"/>
    <x v="5"/>
    <s v="GW001"/>
    <d v="2010-09-14T00:00:00"/>
    <s v="QLD Manufacturing"/>
    <x v="0"/>
    <x v="1"/>
    <x v="1"/>
    <x v="1"/>
    <x v="0"/>
    <x v="1"/>
    <x v="2"/>
    <x v="0"/>
    <x v="0"/>
    <x v="0"/>
    <x v="0"/>
    <n v="254441.81"/>
  </r>
  <r>
    <s v="P1001369"/>
    <x v="2"/>
    <s v="SPO10019"/>
    <x v="1"/>
    <x v="1"/>
    <s v="Mt Isa ID Fan Access Platform"/>
    <x v="3"/>
    <x v="0"/>
    <n v="49897"/>
    <n v="49519.95"/>
    <n v="0"/>
    <n v="0"/>
    <n v="49519.95"/>
    <s v="Sasha"/>
    <s v="Lamont"/>
    <x v="5"/>
    <s v="SMS01"/>
    <d v="2010-09-14T00:00:00"/>
    <s v="Mt Isa"/>
    <x v="0"/>
    <x v="1"/>
    <x v="1"/>
    <x v="1"/>
    <x v="0"/>
    <x v="2"/>
    <x v="2"/>
    <x v="0"/>
    <x v="0"/>
    <x v="0"/>
    <x v="0"/>
    <n v="0"/>
  </r>
  <r>
    <s v="P1001391"/>
    <x v="2"/>
    <s v="SMS10005"/>
    <x v="1"/>
    <x v="1"/>
    <s v="Catalyst Floor Replacement/Strategy"/>
    <x v="0"/>
    <x v="0"/>
    <n v="384963"/>
    <n v="83725.960000000006"/>
    <n v="1710"/>
    <n v="0"/>
    <n v="83725.960000000006"/>
    <s v="Sasha"/>
    <s v="Lamont"/>
    <x v="5"/>
    <s v="SMS01"/>
    <d v="2010-09-16T00:00:00"/>
    <s v="Mt Isa"/>
    <x v="0"/>
    <x v="1"/>
    <x v="1"/>
    <x v="1"/>
    <x v="0"/>
    <x v="1"/>
    <x v="2"/>
    <x v="0"/>
    <x v="0"/>
    <x v="0"/>
    <x v="0"/>
    <n v="19192.5"/>
  </r>
  <r>
    <s v="P1001393"/>
    <x v="7"/>
    <s v="INO10004.110"/>
    <x v="3"/>
    <x v="1"/>
    <s v="Fuel Storage Tank - Townsville PDC"/>
    <x v="2"/>
    <x v="0"/>
    <n v="9300"/>
    <n v="792"/>
    <n v="0"/>
    <n v="9147.85"/>
    <n v="9939.85"/>
    <s v="David"/>
    <s v="Collins"/>
    <x v="5"/>
    <s v="FWT06"/>
    <d v="2010-09-17T00:00:00"/>
    <s v="Townsville PDC"/>
    <x v="0"/>
    <x v="1"/>
    <x v="1"/>
    <x v="1"/>
    <x v="0"/>
    <x v="1"/>
    <x v="2"/>
    <x v="0"/>
    <x v="0"/>
    <x v="0"/>
    <x v="0"/>
    <n v="0"/>
  </r>
  <r>
    <s v="P1001394"/>
    <x v="7"/>
    <s v="ISO10003.70"/>
    <x v="7"/>
    <x v="1"/>
    <s v="Port Kembla Blending Plant PLC Upgrade"/>
    <x v="8"/>
    <x v="0"/>
    <n v="35803"/>
    <n v="39180.43"/>
    <n v="1214.57"/>
    <n v="0"/>
    <n v="39180.43"/>
    <s v="James"/>
    <s v="Hartley"/>
    <x v="5"/>
    <s v="FWK02"/>
    <d v="2010-09-17T00:00:00"/>
    <s v="Distribution Central - NS"/>
    <x v="3"/>
    <x v="1"/>
    <x v="1"/>
    <x v="1"/>
    <x v="0"/>
    <x v="1"/>
    <x v="2"/>
    <x v="0"/>
    <x v="0"/>
    <x v="0"/>
    <x v="0"/>
    <n v="12017.49"/>
  </r>
  <r>
    <s v="P1001395"/>
    <x v="7"/>
    <s v="ISO10003.60"/>
    <x v="7"/>
    <x v="1"/>
    <s v="Port Kembla Distribution Out Feed PLC Upgrade"/>
    <x v="8"/>
    <x v="0"/>
    <n v="20785"/>
    <n v="12779.69"/>
    <n v="38.24"/>
    <n v="0"/>
    <n v="12779.69"/>
    <s v="James"/>
    <s v="Hartley"/>
    <x v="5"/>
    <s v="FWK02"/>
    <d v="2010-09-17T00:00:00"/>
    <s v="Distribution Central - NS"/>
    <x v="3"/>
    <x v="1"/>
    <x v="1"/>
    <x v="1"/>
    <x v="0"/>
    <x v="1"/>
    <x v="2"/>
    <x v="0"/>
    <x v="0"/>
    <x v="0"/>
    <x v="0"/>
    <n v="2858.24"/>
  </r>
  <r>
    <s v="P1001396"/>
    <x v="7"/>
    <s v="INO10004.120"/>
    <x v="3"/>
    <x v="1"/>
    <s v="Mackay - Introduction of 25kg Bagging Operations"/>
    <x v="2"/>
    <x v="0"/>
    <n v="20000"/>
    <n v="16688.97"/>
    <n v="-1916.94"/>
    <n v="0"/>
    <n v="16688.97"/>
    <s v="Ray"/>
    <s v="Gofton"/>
    <x v="5"/>
    <s v="FWM02"/>
    <d v="2010-09-17T00:00:00"/>
    <s v="Distribution Northern - Q"/>
    <x v="0"/>
    <x v="1"/>
    <x v="1"/>
    <x v="1"/>
    <x v="0"/>
    <x v="1"/>
    <x v="2"/>
    <x v="0"/>
    <x v="0"/>
    <x v="0"/>
    <x v="0"/>
    <n v="9517.9500000000007"/>
  </r>
  <r>
    <s v="P1001397"/>
    <x v="7"/>
    <s v="INO10004.130"/>
    <x v="3"/>
    <x v="1"/>
    <s v="Townsville PDC Laydown Slab"/>
    <x v="0"/>
    <x v="0"/>
    <n v="47802"/>
    <n v="49500"/>
    <n v="0"/>
    <n v="0"/>
    <n v="49500"/>
    <s v="David"/>
    <s v="Collins"/>
    <x v="5"/>
    <s v="FWT06"/>
    <d v="2010-09-17T00:00:00"/>
    <s v="Distribution Northern - Q"/>
    <x v="0"/>
    <x v="1"/>
    <x v="1"/>
    <x v="1"/>
    <x v="0"/>
    <x v="1"/>
    <x v="2"/>
    <x v="0"/>
    <x v="0"/>
    <x v="0"/>
    <x v="0"/>
    <n v="0"/>
  </r>
  <r>
    <s v="P1001399"/>
    <x v="7"/>
    <s v="ISO10003.80"/>
    <x v="7"/>
    <x v="1"/>
    <s v="Port Lincoln Diesel Storage Tank"/>
    <x v="0"/>
    <x v="0"/>
    <n v="9500"/>
    <n v="9990"/>
    <n v="0"/>
    <n v="0"/>
    <n v="9990"/>
    <s v="Damian"/>
    <s v="Hollitt"/>
    <x v="5"/>
    <s v="FWE04"/>
    <d v="2010-09-17T00:00:00"/>
    <s v="Distribution Central - NS"/>
    <x v="3"/>
    <x v="1"/>
    <x v="1"/>
    <x v="1"/>
    <x v="0"/>
    <x v="2"/>
    <x v="2"/>
    <x v="0"/>
    <x v="0"/>
    <x v="0"/>
    <x v="0"/>
    <n v="9990"/>
  </r>
  <r>
    <s v="P1001400"/>
    <x v="7"/>
    <s v="IWL10006"/>
    <x v="9"/>
    <x v="1"/>
    <s v="UV Visible Spectrophotometer"/>
    <x v="0"/>
    <x v="0"/>
    <n v="30000"/>
    <n v="-2800"/>
    <n v="0"/>
    <n v="30000"/>
    <n v="27200"/>
    <s v="Lisa"/>
    <s v="Koch"/>
    <x v="5"/>
    <s v="FMS01"/>
    <d v="2010-09-17T00:00:00"/>
    <s v="Laboratory Services"/>
    <x v="2"/>
    <x v="1"/>
    <x v="1"/>
    <x v="1"/>
    <x v="0"/>
    <x v="1"/>
    <x v="2"/>
    <x v="0"/>
    <x v="0"/>
    <x v="0"/>
    <x v="0"/>
    <n v="0"/>
  </r>
  <r>
    <s v="P1001401"/>
    <x v="7"/>
    <s v="IWL10007"/>
    <x v="9"/>
    <x v="1"/>
    <s v="Replacement of Centrifuges"/>
    <x v="0"/>
    <x v="0"/>
    <n v="25000"/>
    <n v="-5000"/>
    <n v="0"/>
    <n v="30000"/>
    <n v="25000"/>
    <s v="Lisa"/>
    <s v="Koch"/>
    <x v="5"/>
    <s v="FMS01"/>
    <d v="2010-09-17T00:00:00"/>
    <s v="Laboratory Services"/>
    <x v="2"/>
    <x v="1"/>
    <x v="1"/>
    <x v="1"/>
    <x v="0"/>
    <x v="1"/>
    <x v="2"/>
    <x v="0"/>
    <x v="0"/>
    <x v="0"/>
    <x v="0"/>
    <n v="25000"/>
  </r>
  <r>
    <s v="P1001403"/>
    <x v="7"/>
    <s v="IWL10008"/>
    <x v="9"/>
    <x v="1"/>
    <s v="Flow Injection Analyser"/>
    <x v="5"/>
    <x v="0"/>
    <n v="130000"/>
    <n v="-12600"/>
    <n v="0"/>
    <n v="138600"/>
    <n v="126000"/>
    <s v="Lisa"/>
    <s v="Koch"/>
    <x v="5"/>
    <s v="FMS01"/>
    <d v="2010-09-18T00:00:00"/>
    <s v="Laboratory Services"/>
    <x v="2"/>
    <x v="1"/>
    <x v="1"/>
    <x v="1"/>
    <x v="0"/>
    <x v="1"/>
    <x v="2"/>
    <x v="0"/>
    <x v="0"/>
    <x v="0"/>
    <x v="0"/>
    <n v="0"/>
  </r>
  <r>
    <s v="P1001404"/>
    <x v="7"/>
    <s v="INO11001"/>
    <x v="3"/>
    <x v="1"/>
    <s v="Cairns Site Security Fence"/>
    <x v="5"/>
    <x v="0"/>
    <n v="61600"/>
    <n v="60127.7"/>
    <n v="0"/>
    <n v="0"/>
    <n v="60127.7"/>
    <s v="Paul"/>
    <s v="Rylewski"/>
    <x v="5"/>
    <s v="FWC09"/>
    <d v="2010-09-18T00:00:00"/>
    <s v="Distribution Northern - Q"/>
    <x v="0"/>
    <x v="1"/>
    <x v="1"/>
    <x v="1"/>
    <x v="0"/>
    <x v="1"/>
    <x v="2"/>
    <x v="0"/>
    <x v="0"/>
    <x v="0"/>
    <x v="0"/>
    <n v="60127.7"/>
  </r>
  <r>
    <s v="P1001405"/>
    <x v="7"/>
    <s v="ISO10011"/>
    <x v="7"/>
    <x v="1"/>
    <s v="Port Adelaide Electrical Upgrade"/>
    <x v="2"/>
    <x v="0"/>
    <n v="90000"/>
    <n v="81128"/>
    <n v="0"/>
    <n v="0"/>
    <n v="81128"/>
    <s v="Damian"/>
    <s v="Hollitt"/>
    <x v="5"/>
    <s v="FWX06"/>
    <d v="2010-09-18T00:00:00"/>
    <s v="Distribution Southern - S"/>
    <x v="4"/>
    <x v="1"/>
    <x v="1"/>
    <x v="1"/>
    <x v="0"/>
    <x v="1"/>
    <x v="2"/>
    <x v="0"/>
    <x v="0"/>
    <x v="0"/>
    <x v="0"/>
    <n v="81128"/>
  </r>
  <r>
    <s v="P1001411"/>
    <x v="7"/>
    <s v="IGE10049"/>
    <x v="6"/>
    <x v="1"/>
    <s v="GEO155 North Shore Security Cameras"/>
    <x v="0"/>
    <x v="0"/>
    <n v="40065"/>
    <n v="35480"/>
    <n v="0"/>
    <n v="0"/>
    <n v="35480"/>
    <s v="David"/>
    <s v="Reeves"/>
    <x v="5"/>
    <s v="GES01"/>
    <d v="2010-09-22T00:00:00"/>
    <s v="Geelong PDC"/>
    <x v="2"/>
    <x v="1"/>
    <x v="1"/>
    <x v="1"/>
    <x v="0"/>
    <x v="1"/>
    <x v="2"/>
    <x v="0"/>
    <x v="0"/>
    <x v="0"/>
    <x v="0"/>
    <n v="0"/>
  </r>
  <r>
    <s v="P1001413"/>
    <x v="7"/>
    <s v="IPM10003.80"/>
    <x v="4"/>
    <x v="1"/>
    <s v="Number 5 Sly Filter Switchboard Replacement"/>
    <x v="0"/>
    <x v="0"/>
    <n v="41000"/>
    <n v="33053.440000000002"/>
    <n v="0"/>
    <n v="0"/>
    <n v="33053.440000000002"/>
    <s v="Karl"/>
    <s v="Nowakowski"/>
    <x v="5"/>
    <s v="FWP01"/>
    <d v="2010-09-22T00:00:00"/>
    <s v="Portland PDC"/>
    <x v="2"/>
    <x v="1"/>
    <x v="1"/>
    <x v="1"/>
    <x v="0"/>
    <x v="1"/>
    <x v="2"/>
    <x v="0"/>
    <x v="0"/>
    <x v="0"/>
    <x v="0"/>
    <n v="13723.44"/>
  </r>
  <r>
    <s v="P1001415"/>
    <x v="2"/>
    <s v="SMS10014"/>
    <x v="1"/>
    <x v="1"/>
    <s v="New Maintenance Workshop at the Mt Isa Acid Plant"/>
    <x v="3"/>
    <x v="0"/>
    <n v="875000"/>
    <n v="24158.080000000002"/>
    <n v="7465.58"/>
    <n v="0"/>
    <n v="24158.080000000002"/>
    <s v="Patrick"/>
    <s v="Owens"/>
    <x v="5"/>
    <s v="SMS01"/>
    <d v="2010-09-23T00:00:00"/>
    <s v="Mt Isa"/>
    <x v="0"/>
    <x v="1"/>
    <x v="1"/>
    <x v="1"/>
    <x v="0"/>
    <x v="1"/>
    <x v="2"/>
    <x v="0"/>
    <x v="0"/>
    <x v="0"/>
    <x v="0"/>
    <n v="12958.08"/>
  </r>
  <r>
    <s v="P1001416"/>
    <x v="7"/>
    <s v="INO11002"/>
    <x v="3"/>
    <x v="4"/>
    <s v="AR (C) Phase 2 Townsville PDC Redevelopment"/>
    <x v="5"/>
    <x v="0"/>
    <n v="506231"/>
    <n v="99497.18"/>
    <n v="14123"/>
    <n v="0"/>
    <n v="99497.18"/>
    <s v="Bruce"/>
    <s v="King"/>
    <x v="6"/>
    <s v="FWT06"/>
    <d v="2010-09-23T00:00:00"/>
    <s v="Distribution Northern - Q"/>
    <x v="0"/>
    <x v="1"/>
    <x v="0"/>
    <x v="0"/>
    <x v="0"/>
    <x v="1"/>
    <x v="0"/>
    <x v="0"/>
    <x v="0"/>
    <x v="0"/>
    <x v="2"/>
    <n v="99497.18"/>
  </r>
  <r>
    <s v="P1001419"/>
    <x v="7"/>
    <s v="IPM10003.90"/>
    <x v="4"/>
    <x v="1"/>
    <s v="Despatch T1 Hopper Control Panel Replacement"/>
    <x v="0"/>
    <x v="0"/>
    <n v="57000"/>
    <n v="46157.25"/>
    <n v="19620"/>
    <n v="4001.45"/>
    <n v="50158.7"/>
    <s v="Karl"/>
    <s v="Nowakowski"/>
    <x v="5"/>
    <s v="FWP01"/>
    <d v="2010-09-24T00:00:00"/>
    <s v="Portland PDC"/>
    <x v="2"/>
    <x v="1"/>
    <x v="1"/>
    <x v="1"/>
    <x v="0"/>
    <x v="1"/>
    <x v="2"/>
    <x v="0"/>
    <x v="0"/>
    <x v="0"/>
    <x v="0"/>
    <n v="21420"/>
  </r>
  <r>
    <s v="P1001427"/>
    <x v="3"/>
    <s v="IFI10017"/>
    <x v="8"/>
    <x v="6"/>
    <s v="Beyond Trust Licensing"/>
    <x v="10"/>
    <x v="0"/>
    <n v="60000"/>
    <n v="55955.14"/>
    <n v="0"/>
    <n v="0"/>
    <n v="55955.14"/>
    <s v="Ross"/>
    <s v="Elton"/>
    <x v="5"/>
    <s v="ZI004"/>
    <d v="2010-09-29T00:00:00"/>
    <s v="Finance IT"/>
    <x v="2"/>
    <x v="1"/>
    <x v="1"/>
    <x v="1"/>
    <x v="0"/>
    <x v="1"/>
    <x v="2"/>
    <x v="0"/>
    <x v="0"/>
    <x v="0"/>
    <x v="0"/>
    <n v="0"/>
  </r>
  <r>
    <s v="P1001428"/>
    <x v="3"/>
    <s v="IFI10016"/>
    <x v="8"/>
    <x v="1"/>
    <s v="SAP Server Lease Payout"/>
    <x v="3"/>
    <x v="0"/>
    <n v="79000"/>
    <n v="71755"/>
    <n v="0"/>
    <n v="0"/>
    <n v="71755"/>
    <s v="Boon"/>
    <s v="Beh"/>
    <x v="5"/>
    <s v="ZI004"/>
    <d v="2010-09-29T00:00:00"/>
    <s v="Finance IT"/>
    <x v="2"/>
    <x v="1"/>
    <x v="1"/>
    <x v="1"/>
    <x v="0"/>
    <x v="2"/>
    <x v="2"/>
    <x v="0"/>
    <x v="0"/>
    <x v="0"/>
    <x v="0"/>
    <n v="0"/>
  </r>
  <r>
    <s v="P1100002"/>
    <x v="3"/>
    <s v="IFI11008"/>
    <x v="11"/>
    <x v="0"/>
    <s v="SouthBank Head-Office Relocation"/>
    <x v="6"/>
    <x v="0"/>
    <n v="3600000"/>
    <n v="581226.43999999994"/>
    <n v="581226.43999999994"/>
    <n v="0"/>
    <n v="581226.43999999994"/>
    <s v="Peter"/>
    <s v="Felstead"/>
    <x v="6"/>
    <s v="ZA003"/>
    <d v="2011-03-04T00:00:00"/>
    <s v="Southbank"/>
    <x v="2"/>
    <x v="1"/>
    <x v="0"/>
    <x v="0"/>
    <x v="0"/>
    <x v="1"/>
    <x v="0"/>
    <x v="0"/>
    <x v="2"/>
    <x v="2"/>
    <x v="2"/>
    <n v="581226.43999999994"/>
  </r>
  <r>
    <s v="P1101436"/>
    <x v="3"/>
    <s v="IFI11001"/>
    <x v="8"/>
    <x v="6"/>
    <s v="Microsoft License True Up Usage for 2010"/>
    <x v="10"/>
    <x v="0"/>
    <n v="72213"/>
    <n v="72212.899999999994"/>
    <n v="0"/>
    <n v="0"/>
    <n v="72212.899999999994"/>
    <s v="Boon"/>
    <s v="Beh"/>
    <x v="6"/>
    <s v="ZI004"/>
    <d v="2010-10-04T00:00:00"/>
    <s v="IT - Corp"/>
    <x v="2"/>
    <x v="1"/>
    <x v="1"/>
    <x v="1"/>
    <x v="0"/>
    <x v="2"/>
    <x v="0"/>
    <x v="0"/>
    <x v="0"/>
    <x v="0"/>
    <x v="2"/>
    <n v="0"/>
  </r>
  <r>
    <s v="P1101438"/>
    <x v="7"/>
    <s v="IWL11001"/>
    <x v="9"/>
    <x v="6"/>
    <s v="LabWare Upgrade NA Lab Safari Project"/>
    <x v="10"/>
    <x v="0"/>
    <n v="49500"/>
    <n v="40506.720000000001"/>
    <n v="0"/>
    <n v="0"/>
    <n v="40506.720000000001"/>
    <s v="Philip"/>
    <s v="Williams"/>
    <x v="6"/>
    <s v="FMS01"/>
    <d v="2010-10-05T00:00:00"/>
    <s v="Werribee Lab"/>
    <x v="2"/>
    <x v="1"/>
    <x v="1"/>
    <x v="1"/>
    <x v="0"/>
    <x v="1"/>
    <x v="0"/>
    <x v="0"/>
    <x v="0"/>
    <x v="0"/>
    <x v="2"/>
    <n v="0"/>
  </r>
  <r>
    <s v="P1101445"/>
    <x v="6"/>
    <s v="IGU11001"/>
    <x v="2"/>
    <x v="2"/>
    <s v="SCR Urea Tie -ins"/>
    <x v="6"/>
    <x v="0"/>
    <n v="139175"/>
    <n v="65823.14"/>
    <n v="40510.36"/>
    <n v="0"/>
    <n v="65823.14"/>
    <s v="Craig"/>
    <s v="Ross"/>
    <x v="6"/>
    <s v="GOU01"/>
    <d v="2010-10-07T00:00:00"/>
    <s v="QLD Manufacturing"/>
    <x v="0"/>
    <x v="1"/>
    <x v="1"/>
    <x v="1"/>
    <x v="0"/>
    <x v="1"/>
    <x v="0"/>
    <x v="0"/>
    <x v="2"/>
    <x v="0"/>
    <x v="2"/>
    <n v="65741.64"/>
  </r>
  <r>
    <s v="P1101449"/>
    <x v="7"/>
    <s v="ISO11003"/>
    <x v="7"/>
    <x v="1"/>
    <s v="Replace Existing Phone System at Longford"/>
    <x v="11"/>
    <x v="0"/>
    <n v="5000"/>
    <n v="5493"/>
    <n v="0"/>
    <n v="0"/>
    <n v="5493"/>
    <s v="Corey"/>
    <s v="Harris"/>
    <x v="6"/>
    <s v="FRS15"/>
    <d v="2010-10-14T00:00:00"/>
    <s v="Tasmania Logistics"/>
    <x v="5"/>
    <x v="1"/>
    <x v="1"/>
    <x v="1"/>
    <x v="0"/>
    <x v="1"/>
    <x v="0"/>
    <x v="0"/>
    <x v="0"/>
    <x v="0"/>
    <x v="2"/>
    <n v="0"/>
  </r>
  <r>
    <s v="P1101450"/>
    <x v="7"/>
    <s v="ISO11001"/>
    <x v="7"/>
    <x v="1"/>
    <s v="Replace Existing Phone System at Howth"/>
    <x v="11"/>
    <x v="0"/>
    <n v="4500"/>
    <n v="4495"/>
    <n v="0"/>
    <n v="0"/>
    <n v="4495"/>
    <s v="Corey"/>
    <s v="Harris"/>
    <x v="6"/>
    <s v="FRS12"/>
    <d v="2010-10-14T00:00:00"/>
    <s v="Tasmania Logistics"/>
    <x v="5"/>
    <x v="1"/>
    <x v="1"/>
    <x v="1"/>
    <x v="0"/>
    <x v="1"/>
    <x v="0"/>
    <x v="0"/>
    <x v="0"/>
    <x v="0"/>
    <x v="2"/>
    <n v="0"/>
  </r>
  <r>
    <s v="P1101451"/>
    <x v="7"/>
    <s v="ISO11002"/>
    <x v="7"/>
    <x v="1"/>
    <s v="Replace Existing Phone System at Circular Head"/>
    <x v="11"/>
    <x v="0"/>
    <n v="5000"/>
    <n v="4840"/>
    <n v="0"/>
    <n v="0"/>
    <n v="4840"/>
    <s v="Corey"/>
    <s v="Harris"/>
    <x v="6"/>
    <s v="FRS10"/>
    <d v="2010-10-14T00:00:00"/>
    <s v="Tasmania Logistics"/>
    <x v="5"/>
    <x v="1"/>
    <x v="1"/>
    <x v="1"/>
    <x v="0"/>
    <x v="1"/>
    <x v="0"/>
    <x v="0"/>
    <x v="0"/>
    <x v="0"/>
    <x v="2"/>
    <n v="0"/>
  </r>
  <r>
    <s v="P1101452"/>
    <x v="7"/>
    <s v="ICM11002"/>
    <x v="10"/>
    <x v="6"/>
    <s v="Mobile Contracts Tool"/>
    <x v="7"/>
    <x v="0"/>
    <n v="152552"/>
    <n v="130234"/>
    <n v="16219"/>
    <n v="0"/>
    <n v="130234"/>
    <s v="Philipa"/>
    <s v="Lamb"/>
    <x v="6"/>
    <s v="FA001"/>
    <d v="2010-10-15T00:00:00"/>
    <s v="Marketing - Vic"/>
    <x v="2"/>
    <x v="1"/>
    <x v="1"/>
    <x v="1"/>
    <x v="0"/>
    <x v="1"/>
    <x v="0"/>
    <x v="0"/>
    <x v="0"/>
    <x v="0"/>
    <x v="2"/>
    <n v="28219"/>
  </r>
  <r>
    <s v="P1101453"/>
    <x v="7"/>
    <s v="ISO11004"/>
    <x v="7"/>
    <x v="1"/>
    <s v="Buffalo Site Reopening"/>
    <x v="6"/>
    <x v="0"/>
    <n v="100000"/>
    <n v="60006.99"/>
    <n v="0"/>
    <n v="0"/>
    <n v="60006.99"/>
    <s v="David"/>
    <s v="Butterfield"/>
    <x v="6"/>
    <s v="FRS24"/>
    <d v="2010-10-16T00:00:00"/>
    <s v="Distribution Southern"/>
    <x v="2"/>
    <x v="1"/>
    <x v="1"/>
    <x v="1"/>
    <x v="0"/>
    <x v="1"/>
    <x v="0"/>
    <x v="0"/>
    <x v="2"/>
    <x v="0"/>
    <x v="2"/>
    <n v="4787.95"/>
  </r>
  <r>
    <s v="P1101457"/>
    <x v="7"/>
    <s v="INO11003"/>
    <x v="3"/>
    <x v="1"/>
    <s v="Mackay Asbestos Management"/>
    <x v="11"/>
    <x v="0"/>
    <n v="785602"/>
    <n v="157903.62"/>
    <n v="25591.96"/>
    <n v="0"/>
    <n v="157903.62"/>
    <s v="Bruce"/>
    <s v="King"/>
    <x v="6"/>
    <s v="FWM08"/>
    <d v="2010-10-19T00:00:00"/>
    <s v="Distribution Northern"/>
    <x v="0"/>
    <x v="1"/>
    <x v="1"/>
    <x v="1"/>
    <x v="0"/>
    <x v="1"/>
    <x v="0"/>
    <x v="0"/>
    <x v="0"/>
    <x v="0"/>
    <x v="2"/>
    <n v="157903.62"/>
  </r>
  <r>
    <s v="P1101462"/>
    <x v="1"/>
    <s v="SPG10001"/>
    <x v="1"/>
    <x v="1"/>
    <s v="Granulation Crib Room Upgrade"/>
    <x v="2"/>
    <x v="0"/>
    <n v="29704"/>
    <n v="29684.69"/>
    <n v="0"/>
    <n v="0"/>
    <n v="29684.69"/>
    <s v="Nick"/>
    <s v="Spargo"/>
    <x v="6"/>
    <s v="SPG01"/>
    <d v="2010-10-28T00:00:00"/>
    <s v="Phos Hill Manufacturing"/>
    <x v="0"/>
    <x v="1"/>
    <x v="1"/>
    <x v="1"/>
    <x v="0"/>
    <x v="2"/>
    <x v="0"/>
    <x v="0"/>
    <x v="0"/>
    <x v="0"/>
    <x v="2"/>
    <n v="15217.09"/>
  </r>
  <r>
    <s v="P1101463"/>
    <x v="1"/>
    <s v="SPP11001"/>
    <x v="1"/>
    <x v="1"/>
    <s v="Thermometric Titration System fo SO4 Analysis"/>
    <x v="12"/>
    <x v="0"/>
    <n v="16180"/>
    <n v="16590"/>
    <n v="0"/>
    <n v="0"/>
    <n v="16590"/>
    <s v="Regan"/>
    <s v="Kernke"/>
    <x v="6"/>
    <s v="SPP01"/>
    <d v="2010-10-28T00:00:00"/>
    <s v="Phos Hill Manufacturing"/>
    <x v="0"/>
    <x v="1"/>
    <x v="1"/>
    <x v="1"/>
    <x v="0"/>
    <x v="1"/>
    <x v="0"/>
    <x v="0"/>
    <x v="0"/>
    <x v="0"/>
    <x v="2"/>
    <n v="0"/>
  </r>
  <r>
    <s v="P1101464"/>
    <x v="1"/>
    <s v="SPO10024"/>
    <x v="1"/>
    <x v="1"/>
    <s v="Sulphuric Acid Addition to Scubber"/>
    <x v="3"/>
    <x v="0"/>
    <n v="210000"/>
    <n v="210002.04"/>
    <n v="28848.29"/>
    <n v="0"/>
    <n v="210002.04"/>
    <s v="Peter"/>
    <s v="Leonard"/>
    <x v="6"/>
    <s v="SPG01"/>
    <d v="2010-10-28T00:00:00"/>
    <s v="Phos Hill Manufacturing"/>
    <x v="0"/>
    <x v="1"/>
    <x v="1"/>
    <x v="1"/>
    <x v="0"/>
    <x v="1"/>
    <x v="0"/>
    <x v="0"/>
    <x v="0"/>
    <x v="0"/>
    <x v="2"/>
    <n v="81446.789999999994"/>
  </r>
  <r>
    <s v="P1101465"/>
    <x v="6"/>
    <s v="IGO11001"/>
    <x v="2"/>
    <x v="1"/>
    <s v="Lot 565 - Car Park/Truck Tarping Area Purchase"/>
    <x v="11"/>
    <x v="0"/>
    <n v="3370528"/>
    <n v="3370528.6"/>
    <n v="0"/>
    <n v="0"/>
    <n v="3370528.6"/>
    <s v="Warren"/>
    <s v="Waples"/>
    <x v="6"/>
    <s v="GW001"/>
    <d v="2010-10-28T00:00:00"/>
    <s v="GI Overheads"/>
    <x v="0"/>
    <x v="1"/>
    <x v="0"/>
    <x v="1"/>
    <x v="2"/>
    <x v="2"/>
    <x v="0"/>
    <x v="0"/>
    <x v="0"/>
    <x v="2"/>
    <x v="2"/>
    <n v="0"/>
  </r>
  <r>
    <s v="P1101466"/>
    <x v="1"/>
    <s v="SPP11002"/>
    <x v="1"/>
    <x v="1"/>
    <s v="Storage Tank 7 Upgrade 1"/>
    <x v="3"/>
    <x v="0"/>
    <n v="2400000"/>
    <n v="1824138.9"/>
    <n v="1066633.72"/>
    <n v="0"/>
    <n v="1824138.9"/>
    <s v="John"/>
    <s v="Cowan"/>
    <x v="6"/>
    <s v="SPP01"/>
    <d v="2010-11-03T00:00:00"/>
    <s v="Phos Hill Manufacturing"/>
    <x v="0"/>
    <x v="1"/>
    <x v="1"/>
    <x v="1"/>
    <x v="0"/>
    <x v="1"/>
    <x v="0"/>
    <x v="0"/>
    <x v="0"/>
    <x v="2"/>
    <x v="2"/>
    <n v="1513721.18"/>
  </r>
  <r>
    <s v="P1101468"/>
    <x v="7"/>
    <s v="IAD11001"/>
    <x v="12"/>
    <x v="6"/>
    <s v="Big N Touchstar System Replacement"/>
    <x v="5"/>
    <x v="0"/>
    <n v="285000"/>
    <n v="74879.14"/>
    <n v="0"/>
    <n v="0"/>
    <n v="74879.14"/>
    <s v="Max"/>
    <s v="Strasser"/>
    <x v="6"/>
    <s v="FRW05"/>
    <d v="2010-11-05T00:00:00"/>
    <s v="Big N Dist-Depot to Farm"/>
    <x v="3"/>
    <x v="1"/>
    <x v="1"/>
    <x v="1"/>
    <x v="0"/>
    <x v="1"/>
    <x v="0"/>
    <x v="0"/>
    <x v="0"/>
    <x v="0"/>
    <x v="2"/>
    <n v="74474.429999999993"/>
  </r>
  <r>
    <s v="P1101470"/>
    <x v="7"/>
    <s v="IPM11001"/>
    <x v="4"/>
    <x v="1"/>
    <s v="BM2 HT Protection Relays"/>
    <x v="3"/>
    <x v="0"/>
    <n v="21490"/>
    <n v="19968.45"/>
    <n v="19968.45"/>
    <n v="0"/>
    <n v="19968.45"/>
    <s v="Karl"/>
    <s v="Nowakowski"/>
    <x v="6"/>
    <s v="PTS01"/>
    <d v="2010-11-05T00:00:00"/>
    <s v="Portland Manufacturing"/>
    <x v="2"/>
    <x v="1"/>
    <x v="1"/>
    <x v="1"/>
    <x v="0"/>
    <x v="2"/>
    <x v="0"/>
    <x v="0"/>
    <x v="0"/>
    <x v="0"/>
    <x v="2"/>
    <n v="19968.45"/>
  </r>
  <r>
    <s v="P1101477"/>
    <x v="7"/>
    <s v="ISO11005"/>
    <x v="7"/>
    <x v="1"/>
    <s v="Shepparton Diesel Tank"/>
    <x v="5"/>
    <x v="0"/>
    <n v="10000"/>
    <n v="4021.6"/>
    <n v="4021.6"/>
    <n v="0"/>
    <n v="4021.6"/>
    <s v="Max"/>
    <s v="Strasser"/>
    <x v="6"/>
    <s v="FRS17"/>
    <d v="2010-11-11T00:00:00"/>
    <s v="Shepparton"/>
    <x v="2"/>
    <x v="1"/>
    <x v="1"/>
    <x v="1"/>
    <x v="0"/>
    <x v="1"/>
    <x v="0"/>
    <x v="0"/>
    <x v="0"/>
    <x v="0"/>
    <x v="2"/>
    <n v="4021.6"/>
  </r>
  <r>
    <s v="P1101478"/>
    <x v="8"/>
    <s v="IKI11001"/>
    <x v="5"/>
    <x v="1"/>
    <s v="KI Bagging Plant Continuation Upgrade FY11"/>
    <x v="2"/>
    <x v="0"/>
    <n v="499785"/>
    <n v="99055"/>
    <n v="41315"/>
    <n v="0"/>
    <n v="99055"/>
    <s v="Lee"/>
    <s v="Appleby"/>
    <x v="6"/>
    <s v="NFD10"/>
    <d v="2010-11-11T00:00:00"/>
    <s v="Kooragang Island PDC"/>
    <x v="3"/>
    <x v="1"/>
    <x v="0"/>
    <x v="0"/>
    <x v="0"/>
    <x v="1"/>
    <x v="0"/>
    <x v="0"/>
    <x v="0"/>
    <x v="0"/>
    <x v="2"/>
    <n v="77051"/>
  </r>
  <r>
    <s v="P1101482"/>
    <x v="2"/>
    <s v="SMS10013"/>
    <x v="1"/>
    <x v="1"/>
    <s v="SO2 Blower Room Access Stairs (Removable)"/>
    <x v="3"/>
    <x v="0"/>
    <n v="30644"/>
    <n v="30578.95"/>
    <n v="10820"/>
    <n v="0"/>
    <n v="30578.95"/>
    <s v="Luke"/>
    <s v="Betros"/>
    <x v="6"/>
    <s v="SMS01"/>
    <d v="2010-11-16T00:00:00"/>
    <s v="Mt Isa"/>
    <x v="0"/>
    <x v="1"/>
    <x v="1"/>
    <x v="1"/>
    <x v="0"/>
    <x v="2"/>
    <x v="0"/>
    <x v="0"/>
    <x v="0"/>
    <x v="0"/>
    <x v="2"/>
    <n v="28312.62"/>
  </r>
  <r>
    <s v="P1101487"/>
    <x v="3"/>
    <s v="IFI11002"/>
    <x v="8"/>
    <x v="6"/>
    <s v="Licensing for IT Service Desk Function"/>
    <x v="10"/>
    <x v="0"/>
    <n v="28000"/>
    <n v="27627"/>
    <n v="0"/>
    <n v="0"/>
    <n v="27627"/>
    <s v="Fiona"/>
    <s v="Foley"/>
    <x v="6"/>
    <s v="ZI005"/>
    <d v="2010-11-22T00:00:00"/>
    <s v="IT - Corp"/>
    <x v="2"/>
    <x v="1"/>
    <x v="1"/>
    <x v="1"/>
    <x v="0"/>
    <x v="2"/>
    <x v="0"/>
    <x v="0"/>
    <x v="0"/>
    <x v="0"/>
    <x v="2"/>
    <n v="27627"/>
  </r>
  <r>
    <s v="P1101488"/>
    <x v="3"/>
    <s v="IFI11003"/>
    <x v="8"/>
    <x v="6"/>
    <s v="BOMGAR IT Remote Support Software - Extra Licences"/>
    <x v="10"/>
    <x v="0"/>
    <n v="30750"/>
    <n v="26352.2"/>
    <n v="0"/>
    <n v="0"/>
    <n v="26352.2"/>
    <s v="Fiona"/>
    <s v="Foley"/>
    <x v="6"/>
    <s v="ZI005"/>
    <d v="2010-11-22T00:00:00"/>
    <s v="IT - Corp"/>
    <x v="2"/>
    <x v="1"/>
    <x v="1"/>
    <x v="1"/>
    <x v="0"/>
    <x v="2"/>
    <x v="0"/>
    <x v="0"/>
    <x v="0"/>
    <x v="0"/>
    <x v="2"/>
    <n v="26352.2"/>
  </r>
  <r>
    <s v="P1101514"/>
    <x v="1"/>
    <s v="SPO11003"/>
    <x v="1"/>
    <x v="1"/>
    <s v="Ice Machine - Monument Village"/>
    <x v="5"/>
    <x v="0"/>
    <n v="8500"/>
    <n v="8000"/>
    <n v="0"/>
    <n v="0"/>
    <n v="8000"/>
    <s v="John"/>
    <s v="Gretton"/>
    <x v="6"/>
    <s v="SPZ02"/>
    <d v="2010-12-17T00:00:00"/>
    <s v="Phos Hill Manufacturing"/>
    <x v="0"/>
    <x v="1"/>
    <x v="1"/>
    <x v="1"/>
    <x v="0"/>
    <x v="1"/>
    <x v="0"/>
    <x v="0"/>
    <x v="0"/>
    <x v="0"/>
    <x v="2"/>
    <n v="8000"/>
  </r>
  <r>
    <s v="P1101516"/>
    <x v="1"/>
    <s v="SPG11004"/>
    <x v="1"/>
    <x v="1"/>
    <s v="Gran Vaporiser Transmitter repl"/>
    <x v="5"/>
    <x v="0"/>
    <n v="11769"/>
    <n v="8739.6"/>
    <n v="8739.6"/>
    <n v="0"/>
    <n v="8739.6"/>
    <s v="Phillip"/>
    <s v="Chapman"/>
    <x v="6"/>
    <s v="SPG01"/>
    <d v="2010-12-17T00:00:00"/>
    <s v="Phos Hill Manufacturing"/>
    <x v="0"/>
    <x v="1"/>
    <x v="1"/>
    <x v="1"/>
    <x v="0"/>
    <x v="1"/>
    <x v="0"/>
    <x v="0"/>
    <x v="0"/>
    <x v="0"/>
    <x v="2"/>
    <n v="8739.6"/>
  </r>
  <r>
    <s v="P1101518"/>
    <x v="1"/>
    <s v="SPO11004"/>
    <x v="1"/>
    <x v="1"/>
    <s v="Ergonomic Workstation"/>
    <x v="2"/>
    <x v="0"/>
    <n v="8000"/>
    <n v="5798.02"/>
    <n v="5798.02"/>
    <n v="0"/>
    <n v="5798.02"/>
    <s v="John"/>
    <s v="Cowan"/>
    <x v="6"/>
    <s v="SPL09"/>
    <d v="2010-12-20T00:00:00"/>
    <s v="Phos Hill Manufacturing"/>
    <x v="0"/>
    <x v="1"/>
    <x v="1"/>
    <x v="1"/>
    <x v="0"/>
    <x v="1"/>
    <x v="0"/>
    <x v="0"/>
    <x v="0"/>
    <x v="0"/>
    <x v="2"/>
    <n v="5798.02"/>
  </r>
  <r>
    <s v="P1101523"/>
    <x v="6"/>
    <s v="IGO11003.30"/>
    <x v="2"/>
    <x v="1"/>
    <s v="Defibrillator - GI Defibtech"/>
    <x v="2"/>
    <x v="0"/>
    <n v="2645"/>
    <n v="2483.89"/>
    <n v="0"/>
    <n v="0"/>
    <n v="2483.89"/>
    <s v="Steven"/>
    <s v="Ling"/>
    <x v="6"/>
    <s v="GW001"/>
    <d v="2010-12-22T00:00:00"/>
    <s v="QLD Manufacturing"/>
    <x v="0"/>
    <x v="1"/>
    <x v="1"/>
    <x v="1"/>
    <x v="0"/>
    <x v="1"/>
    <x v="0"/>
    <x v="0"/>
    <x v="0"/>
    <x v="0"/>
    <x v="2"/>
    <n v="0"/>
  </r>
  <r>
    <s v="P1101524"/>
    <x v="6"/>
    <s v="IGO11003.10"/>
    <x v="2"/>
    <x v="1"/>
    <s v="3 x Respirex Suits for Maint Techs"/>
    <x v="2"/>
    <x v="0"/>
    <n v="14500"/>
    <n v="4621.62"/>
    <n v="2756"/>
    <n v="0"/>
    <n v="4621.62"/>
    <s v="Bob"/>
    <s v="Marshall"/>
    <x v="6"/>
    <s v="GW001"/>
    <d v="2010-12-22T00:00:00"/>
    <s v="QLD Manufacturing"/>
    <x v="0"/>
    <x v="1"/>
    <x v="1"/>
    <x v="1"/>
    <x v="0"/>
    <x v="1"/>
    <x v="0"/>
    <x v="0"/>
    <x v="0"/>
    <x v="0"/>
    <x v="2"/>
    <n v="4621.62"/>
  </r>
  <r>
    <s v="P1101525"/>
    <x v="6"/>
    <s v="IGO11003.40"/>
    <x v="2"/>
    <x v="1"/>
    <s v="Canteen Kitchen Equipment"/>
    <x v="3"/>
    <x v="0"/>
    <n v="29992"/>
    <n v="31848.67"/>
    <n v="0"/>
    <n v="0"/>
    <n v="31848.67"/>
    <s v="Troy"/>
    <s v="Knox"/>
    <x v="6"/>
    <s v="GE005"/>
    <d v="2010-12-22T00:00:00"/>
    <s v="QLD Manufacturing"/>
    <x v="0"/>
    <x v="1"/>
    <x v="1"/>
    <x v="1"/>
    <x v="0"/>
    <x v="1"/>
    <x v="0"/>
    <x v="0"/>
    <x v="0"/>
    <x v="0"/>
    <x v="2"/>
    <n v="0"/>
  </r>
  <r>
    <s v="P1101526"/>
    <x v="9"/>
    <s v="IGO11003.20"/>
    <x v="2"/>
    <x v="1"/>
    <s v="Sulfuric Acid Import Hose repl"/>
    <x v="5"/>
    <x v="0"/>
    <n v="9504"/>
    <n v="9716"/>
    <n v="0"/>
    <n v="0"/>
    <n v="9716"/>
    <s v="Garry"/>
    <s v="Doonan"/>
    <x v="6"/>
    <s v="PDD09"/>
    <d v="2010-12-22T00:00:00"/>
    <s v="Pinkenba PDC"/>
    <x v="0"/>
    <x v="1"/>
    <x v="1"/>
    <x v="1"/>
    <x v="0"/>
    <x v="1"/>
    <x v="0"/>
    <x v="0"/>
    <x v="0"/>
    <x v="0"/>
    <x v="2"/>
    <n v="0"/>
  </r>
  <r>
    <s v="P1101548"/>
    <x v="6"/>
    <s v="IGO11003.50"/>
    <x v="2"/>
    <x v="1"/>
    <s v="Replacement of Electric Chain Hoist"/>
    <x v="5"/>
    <x v="0"/>
    <n v="7720"/>
    <n v="7720"/>
    <n v="0"/>
    <n v="0"/>
    <n v="7720"/>
    <s v="Troy"/>
    <s v="Knox"/>
    <x v="6"/>
    <s v="GE005"/>
    <d v="2011-01-18T00:00:00"/>
    <s v="QLD Manufacturing"/>
    <x v="0"/>
    <x v="1"/>
    <x v="1"/>
    <x v="1"/>
    <x v="0"/>
    <x v="1"/>
    <x v="0"/>
    <x v="0"/>
    <x v="0"/>
    <x v="0"/>
    <x v="2"/>
    <n v="7720"/>
  </r>
  <r>
    <s v="P1101549"/>
    <x v="6"/>
    <s v="IGU11002"/>
    <x v="2"/>
    <x v="1"/>
    <s v="T604B Upgrade"/>
    <x v="2"/>
    <x v="0"/>
    <n v="113108"/>
    <n v="34083.269999999997"/>
    <n v="0"/>
    <n v="0"/>
    <n v="34083.269999999997"/>
    <s v="Khe"/>
    <s v="Siang Tan"/>
    <x v="6"/>
    <s v="GOU01"/>
    <d v="2011-01-18T00:00:00"/>
    <s v="QLD Manufacturing"/>
    <x v="0"/>
    <x v="1"/>
    <x v="1"/>
    <x v="1"/>
    <x v="0"/>
    <x v="1"/>
    <x v="0"/>
    <x v="0"/>
    <x v="0"/>
    <x v="0"/>
    <x v="2"/>
    <n v="34083.269999999997"/>
  </r>
  <r>
    <s v="P1101550"/>
    <x v="6"/>
    <s v="IGA11001"/>
    <x v="2"/>
    <x v="1"/>
    <s v="GG4 Engine s/no. 662109 Overhaul"/>
    <x v="3"/>
    <x v="0"/>
    <n v="800000"/>
    <n v="663263.1"/>
    <n v="51101.38"/>
    <n v="0"/>
    <n v="663263.1"/>
    <s v="Steve"/>
    <s v="Badman"/>
    <x v="6"/>
    <s v="GOA01"/>
    <d v="2010-12-23T00:00:00"/>
    <s v="QLD Manufacturing"/>
    <x v="0"/>
    <x v="1"/>
    <x v="1"/>
    <x v="1"/>
    <x v="0"/>
    <x v="1"/>
    <x v="0"/>
    <x v="0"/>
    <x v="0"/>
    <x v="0"/>
    <x v="2"/>
    <n v="663263.1"/>
  </r>
  <r>
    <s v="P1101551"/>
    <x v="3"/>
    <s v="IFI11006"/>
    <x v="8"/>
    <x v="6"/>
    <s v="SAP Software Licemces - eLearning"/>
    <x v="10"/>
    <x v="0"/>
    <n v="304824"/>
    <n v="203092"/>
    <n v="14250"/>
    <n v="0"/>
    <n v="203092"/>
    <s v="Rod"/>
    <s v="Penfound"/>
    <x v="6"/>
    <s v="ZP002"/>
    <d v="2011-01-19T00:00:00"/>
    <s v="IT - Corp"/>
    <x v="2"/>
    <x v="1"/>
    <x v="1"/>
    <x v="1"/>
    <x v="0"/>
    <x v="1"/>
    <x v="0"/>
    <x v="0"/>
    <x v="0"/>
    <x v="0"/>
    <x v="2"/>
    <n v="203092"/>
  </r>
  <r>
    <s v="P1101558"/>
    <x v="7"/>
    <s v="SPO11007"/>
    <x v="1"/>
    <x v="1"/>
    <s v="Unknown"/>
    <x v="0"/>
    <x v="0"/>
    <n v="0"/>
    <n v="15500"/>
    <n v="15500"/>
    <n v="0"/>
    <n v="15500"/>
    <m/>
    <m/>
    <x v="0"/>
    <m/>
    <d v="1899-12-30T00:00:00"/>
    <s v="Phos Hill Manufacturing"/>
    <x v="0"/>
    <x v="0"/>
    <x v="1"/>
    <x v="1"/>
    <x v="0"/>
    <x v="1"/>
    <x v="0"/>
    <x v="0"/>
    <x v="0"/>
    <x v="0"/>
    <x v="2"/>
    <n v="15500"/>
  </r>
  <r>
    <s v="P1101582"/>
    <x v="6"/>
    <s v="IGO11003.60"/>
    <x v="2"/>
    <x v="1"/>
    <s v="Bld133 Sub3 Air Conditioning Unit Replacement"/>
    <x v="5"/>
    <x v="0"/>
    <n v="21940"/>
    <n v="21940"/>
    <n v="21940"/>
    <n v="0"/>
    <n v="21940"/>
    <s v="John"/>
    <s v="W Smith"/>
    <x v="6"/>
    <s v="GW001"/>
    <d v="2011-02-07T00:00:00"/>
    <s v="QLD Manufacturing"/>
    <x v="0"/>
    <x v="1"/>
    <x v="0"/>
    <x v="0"/>
    <x v="0"/>
    <x v="1"/>
    <x v="0"/>
    <x v="0"/>
    <x v="0"/>
    <x v="0"/>
    <x v="2"/>
    <n v="21940"/>
  </r>
  <r>
    <s v="P1101595"/>
    <x v="7"/>
    <s v="IAD11003.10"/>
    <x v="12"/>
    <x v="1"/>
    <s v="Big N - Replacement Ride On Lawnmower"/>
    <x v="5"/>
    <x v="0"/>
    <n v="3400"/>
    <n v="3090.91"/>
    <n v="3090.91"/>
    <n v="0"/>
    <n v="3090.91"/>
    <s v="Greg"/>
    <s v="Phillips"/>
    <x v="6"/>
    <s v="FLT23"/>
    <d v="2011-02-16T00:00:00"/>
    <s v="Big N Dist Depot to Farm"/>
    <x v="0"/>
    <x v="1"/>
    <x v="1"/>
    <x v="1"/>
    <x v="0"/>
    <x v="1"/>
    <x v="0"/>
    <x v="0"/>
    <x v="0"/>
    <x v="0"/>
    <x v="2"/>
    <n v="3090.91"/>
  </r>
  <r>
    <s v="P1101600"/>
    <x v="1"/>
    <s v="SPA10002"/>
    <x v="1"/>
    <x v="1"/>
    <s v="Ammonia Workshop Upgrade"/>
    <x v="3"/>
    <x v="0"/>
    <n v="98914"/>
    <n v="30156.48"/>
    <n v="23991.48"/>
    <n v="0"/>
    <n v="30156.48"/>
    <s v="Terry"/>
    <s v="McCauley"/>
    <x v="6"/>
    <s v="SPA01"/>
    <d v="2011-02-22T00:00:00"/>
    <s v="Phos Hill Manufacturing"/>
    <x v="0"/>
    <x v="1"/>
    <x v="1"/>
    <x v="1"/>
    <x v="0"/>
    <x v="1"/>
    <x v="0"/>
    <x v="0"/>
    <x v="0"/>
    <x v="0"/>
    <x v="2"/>
    <n v="30156.48"/>
  </r>
  <r>
    <s v="P1101604"/>
    <x v="6"/>
    <s v="IGA11003"/>
    <x v="2"/>
    <x v="1"/>
    <s v="GG4 Engine S/N 675197"/>
    <x v="3"/>
    <x v="0"/>
    <n v="450000"/>
    <n v="382939.91"/>
    <n v="273001.57"/>
    <n v="0"/>
    <n v="382939.91"/>
    <s v="Steve"/>
    <s v="Badman"/>
    <x v="6"/>
    <s v="GOA01"/>
    <d v="2011-02-18T00:00:00"/>
    <s v="QLD Manufacturing"/>
    <x v="0"/>
    <x v="1"/>
    <x v="1"/>
    <x v="1"/>
    <x v="0"/>
    <x v="1"/>
    <x v="0"/>
    <x v="0"/>
    <x v="0"/>
    <x v="0"/>
    <x v="2"/>
    <n v="382939.91"/>
  </r>
  <r>
    <s v="P1101605"/>
    <x v="7"/>
    <s v="ISO11008.40"/>
    <x v="7"/>
    <x v="1"/>
    <s v="Shepparton - Control Room Air Conditioner"/>
    <x v="5"/>
    <x v="0"/>
    <n v="3161"/>
    <n v="3160.91"/>
    <n v="0"/>
    <n v="0"/>
    <n v="3160.91"/>
    <s v="Jeff"/>
    <s v="Cameron"/>
    <x v="6"/>
    <s v="FRS17"/>
    <d v="2011-02-18T00:00:00"/>
    <s v="Shepparton"/>
    <x v="2"/>
    <x v="1"/>
    <x v="1"/>
    <x v="1"/>
    <x v="0"/>
    <x v="2"/>
    <x v="0"/>
    <x v="0"/>
    <x v="0"/>
    <x v="0"/>
    <x v="2"/>
    <n v="3160.91"/>
  </r>
  <r>
    <s v="P1101618"/>
    <x v="2"/>
    <s v="SMS11005"/>
    <x v="1"/>
    <x v="1"/>
    <s v="Catalyst Floor Replacement/Strategy - Bed 3"/>
    <x v="3"/>
    <x v="0"/>
    <n v="292779"/>
    <n v="6390"/>
    <n v="6390"/>
    <n v="0"/>
    <n v="6390"/>
    <s v="Sasha"/>
    <s v="Lamont"/>
    <x v="6"/>
    <s v="SMS01"/>
    <d v="2011-02-28T00:00:00"/>
    <s v="Mt. Isa"/>
    <x v="0"/>
    <x v="1"/>
    <x v="1"/>
    <x v="1"/>
    <x v="0"/>
    <x v="1"/>
    <x v="0"/>
    <x v="0"/>
    <x v="0"/>
    <x v="0"/>
    <x v="2"/>
    <n v="6390"/>
  </r>
  <r>
    <s v="P1101619"/>
    <x v="2"/>
    <s v="SMS10012"/>
    <x v="1"/>
    <x v="1"/>
    <s v="Strong Acid Drain Line"/>
    <x v="3"/>
    <x v="0"/>
    <n v="425000"/>
    <n v="92995.07"/>
    <n v="92995.07"/>
    <n v="0"/>
    <n v="92995.07"/>
    <s v="Chris"/>
    <s v="Baer"/>
    <x v="6"/>
    <s v="SMS01"/>
    <d v="2011-02-28T00:00:00"/>
    <s v="Mt. Isa"/>
    <x v="6"/>
    <x v="1"/>
    <x v="1"/>
    <x v="1"/>
    <x v="0"/>
    <x v="1"/>
    <x v="0"/>
    <x v="0"/>
    <x v="0"/>
    <x v="0"/>
    <x v="2"/>
    <n v="92995.07"/>
  </r>
  <r>
    <s v="P1101635"/>
    <x v="7"/>
    <s v="ISO11008.60"/>
    <x v="7"/>
    <x v="1"/>
    <s v="Unknown"/>
    <x v="0"/>
    <x v="0"/>
    <n v="0"/>
    <n v="25630"/>
    <n v="25630"/>
    <n v="0"/>
    <n v="25630"/>
    <m/>
    <m/>
    <x v="0"/>
    <m/>
    <d v="1899-12-30T00:00:00"/>
    <m/>
    <x v="1"/>
    <x v="0"/>
    <x v="0"/>
    <x v="1"/>
    <x v="0"/>
    <x v="0"/>
    <x v="1"/>
    <x v="0"/>
    <x v="0"/>
    <x v="0"/>
    <x v="0"/>
    <n v="25630"/>
  </r>
  <r>
    <s v="P1101645"/>
    <x v="9"/>
    <s v="IGO11003.90"/>
    <x v="2"/>
    <x v="1"/>
    <s v="Pinkenba - Sulfuric Acid Import Hose Replacement"/>
    <x v="5"/>
    <x v="0"/>
    <n v="9716"/>
    <n v="9716"/>
    <n v="9716"/>
    <n v="0"/>
    <n v="9716"/>
    <s v="Garry"/>
    <s v="Doonan"/>
    <x v="6"/>
    <s v="PDD09"/>
    <d v="2011-03-08T00:00:00"/>
    <s v="Pinkenba PDC"/>
    <x v="0"/>
    <x v="1"/>
    <x v="1"/>
    <x v="1"/>
    <x v="0"/>
    <x v="1"/>
    <x v="0"/>
    <x v="0"/>
    <x v="0"/>
    <x v="0"/>
    <x v="2"/>
    <n v="9716"/>
  </r>
  <r>
    <s v="P1101659"/>
    <x v="6"/>
    <s v="IGO11004"/>
    <x v="2"/>
    <x v="1"/>
    <s v="GI - Hard Stand Vehicle Park"/>
    <x v="3"/>
    <x v="0"/>
    <n v="155980"/>
    <n v="155980"/>
    <n v="155980"/>
    <n v="0"/>
    <n v="155980"/>
    <s v="Troy"/>
    <s v="Knox"/>
    <x v="6"/>
    <s v="GW001"/>
    <d v="2011-03-14T00:00:00"/>
    <s v="Gibson Island"/>
    <x v="0"/>
    <x v="1"/>
    <x v="1"/>
    <x v="1"/>
    <x v="0"/>
    <x v="1"/>
    <x v="0"/>
    <x v="0"/>
    <x v="0"/>
    <x v="0"/>
    <x v="2"/>
    <n v="155980"/>
  </r>
  <r>
    <s v="P1101662"/>
    <x v="8"/>
    <s v="IKI11004"/>
    <x v="5"/>
    <x v="1"/>
    <s v="KI Stage 4 Final Upgrade of Shed 2"/>
    <x v="2"/>
    <x v="0"/>
    <n v="960208"/>
    <n v="7524"/>
    <n v="7524"/>
    <n v="0"/>
    <n v="7524"/>
    <s v="Lee"/>
    <s v="Appleby"/>
    <x v="6"/>
    <s v="NFD10"/>
    <d v="2011-03-15T00:00:00"/>
    <s v="Kooragang Island PDC"/>
    <x v="3"/>
    <x v="1"/>
    <x v="0"/>
    <x v="0"/>
    <x v="0"/>
    <x v="1"/>
    <x v="0"/>
    <x v="0"/>
    <x v="0"/>
    <x v="0"/>
    <x v="2"/>
    <n v="7524"/>
  </r>
  <r>
    <s v="P1101664"/>
    <x v="1"/>
    <s v="SPP11009"/>
    <x v="1"/>
    <x v="1"/>
    <s v="Phosphoric Acid Storage Tank 6 Upgrade"/>
    <x v="3"/>
    <x v="0"/>
    <n v="2400000"/>
    <n v="20563.189999999999"/>
    <n v="20563.189999999999"/>
    <n v="0"/>
    <n v="20563.189999999999"/>
    <s v="John"/>
    <s v="Cowan"/>
    <x v="6"/>
    <s v="SPP01"/>
    <d v="2011-03-15T00:00:00"/>
    <s v="Phos Hill Manufacturing"/>
    <x v="0"/>
    <x v="1"/>
    <x v="1"/>
    <x v="1"/>
    <x v="0"/>
    <x v="1"/>
    <x v="0"/>
    <x v="0"/>
    <x v="0"/>
    <x v="2"/>
    <x v="2"/>
    <n v="20563.189999999999"/>
  </r>
  <r>
    <s v="P1101672"/>
    <x v="1"/>
    <s v="SPP11010"/>
    <x v="1"/>
    <x v="1"/>
    <s v="Phos Hill - Reactor Skid Mount Pump"/>
    <x v="12"/>
    <x v="0"/>
    <n v="136500"/>
    <n v="136491.47"/>
    <n v="136491.47"/>
    <n v="0"/>
    <n v="136491.47"/>
    <s v="Robert"/>
    <s v="Johnson"/>
    <x v="6"/>
    <s v="SPP01"/>
    <d v="2011-03-18T00:00:00"/>
    <s v="Phos Hill Manufacturing"/>
    <x v="0"/>
    <x v="1"/>
    <x v="1"/>
    <x v="1"/>
    <x v="0"/>
    <x v="1"/>
    <x v="0"/>
    <x v="0"/>
    <x v="0"/>
    <x v="0"/>
    <x v="2"/>
    <n v="136491.4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17">
  <r>
    <s v="G"/>
    <x v="0"/>
    <s v="G"/>
    <x v="0"/>
    <x v="0"/>
    <s v="Unknown"/>
    <x v="0"/>
    <x v="0"/>
    <n v="0"/>
    <n v="15720.12"/>
    <n v="0"/>
    <n v="0"/>
    <n v="15720.12"/>
    <m/>
    <m/>
    <m/>
    <x v="0"/>
    <x v="0"/>
    <x v="0"/>
    <x v="0"/>
    <x v="0"/>
    <x v="0"/>
    <x v="0"/>
    <x v="0"/>
    <x v="0"/>
    <x v="0"/>
    <x v="0"/>
    <x v="0"/>
    <n v="0"/>
  </r>
  <r>
    <s v="G0400121"/>
    <x v="1"/>
    <s v="ICAPGA04014"/>
    <x v="1"/>
    <x v="0"/>
    <s v="Sulfinol Cooler E605b (repl)"/>
    <x v="1"/>
    <x v="0"/>
    <n v="487000"/>
    <n v="3.75"/>
    <n v="0"/>
    <n v="1001.3"/>
    <n v="1005.05"/>
    <s v="Sam"/>
    <s v="Slack"/>
    <s v="GOA01"/>
    <x v="1"/>
    <x v="1"/>
    <x v="1"/>
    <x v="1"/>
    <x v="0"/>
    <x v="0"/>
    <x v="1"/>
    <x v="0"/>
    <x v="0"/>
    <x v="0"/>
    <x v="0"/>
    <x v="0"/>
    <n v="0"/>
  </r>
  <r>
    <s v="G0500137"/>
    <x v="1"/>
    <s v="ICAPGU05010"/>
    <x v="1"/>
    <x v="0"/>
    <s v="50% Urea Solution Loadout"/>
    <x v="2"/>
    <x v="0"/>
    <n v="198000"/>
    <n v="555"/>
    <n v="0"/>
    <n v="192857.49"/>
    <n v="193412.49"/>
    <s v="Scott"/>
    <s v="Thomson"/>
    <s v="GOU01"/>
    <x v="1"/>
    <x v="1"/>
    <x v="1"/>
    <x v="1"/>
    <x v="0"/>
    <x v="0"/>
    <x v="2"/>
    <x v="0"/>
    <x v="0"/>
    <x v="1"/>
    <x v="0"/>
    <x v="0"/>
    <n v="0"/>
  </r>
  <r>
    <s v="G0500142"/>
    <x v="2"/>
    <s v="ICAPAD05007"/>
    <x v="2"/>
    <x v="0"/>
    <s v="Mandown / Security System Stage 1"/>
    <x v="3"/>
    <x v="0"/>
    <n v="197000"/>
    <n v="7085.22"/>
    <n v="0"/>
    <n v="0"/>
    <n v="7085.22"/>
    <s v="Sean"/>
    <s v="Anderson"/>
    <s v="FRW03"/>
    <x v="2"/>
    <x v="2"/>
    <x v="1"/>
    <x v="1"/>
    <x v="0"/>
    <x v="0"/>
    <x v="1"/>
    <x v="0"/>
    <x v="0"/>
    <x v="0"/>
    <x v="0"/>
    <x v="0"/>
    <n v="0"/>
  </r>
  <r>
    <s v="G0600116"/>
    <x v="1"/>
    <s v="ICAPGA06035"/>
    <x v="1"/>
    <x v="0"/>
    <s v="Ammonia Storage Refrigeration Plant Upgrade- Stg1"/>
    <x v="1"/>
    <x v="0"/>
    <n v="2208907"/>
    <n v="462575.45"/>
    <n v="8527.41"/>
    <n v="1971370.03"/>
    <n v="2433945.48"/>
    <s v="Kevin"/>
    <s v="Martin"/>
    <s v="GOA11"/>
    <x v="1"/>
    <x v="1"/>
    <x v="1"/>
    <x v="1"/>
    <x v="0"/>
    <x v="0"/>
    <x v="2"/>
    <x v="0"/>
    <x v="0"/>
    <x v="0"/>
    <x v="1"/>
    <x v="0"/>
    <n v="35171.68"/>
  </r>
  <r>
    <s v="G0700001"/>
    <x v="0"/>
    <s v="SPP07001"/>
    <x v="0"/>
    <x v="0"/>
    <s v="Reactor 1a Baffles - Upgr"/>
    <x v="4"/>
    <x v="0"/>
    <n v="550000"/>
    <n v="4478131.8099999996"/>
    <n v="0"/>
    <n v="427641.59999999998"/>
    <n v="4905773.41"/>
    <s v="Michael"/>
    <s v="Meissner"/>
    <s v="SPP01"/>
    <x v="3"/>
    <x v="1"/>
    <x v="1"/>
    <x v="1"/>
    <x v="0"/>
    <x v="0"/>
    <x v="1"/>
    <x v="0"/>
    <x v="0"/>
    <x v="0"/>
    <x v="0"/>
    <x v="0"/>
    <n v="0"/>
  </r>
  <r>
    <s v="G0700011"/>
    <x v="3"/>
    <s v="SMI07007"/>
    <x v="0"/>
    <x v="1"/>
    <s v="Mt Isa - 2007 Shutdown (long Lead Items)"/>
    <x v="4"/>
    <x v="0"/>
    <n v="2100000"/>
    <n v="-4316.87"/>
    <n v="0"/>
    <n v="9599727.6799999997"/>
    <n v="9595410.8100000005"/>
    <s v="Mark"/>
    <s v="Samuels"/>
    <s v="SMS01"/>
    <x v="4"/>
    <x v="1"/>
    <x v="1"/>
    <x v="1"/>
    <x v="0"/>
    <x v="0"/>
    <x v="2"/>
    <x v="0"/>
    <x v="0"/>
    <x v="0"/>
    <x v="1"/>
    <x v="0"/>
    <n v="0"/>
  </r>
  <r>
    <s v="G0700014"/>
    <x v="0"/>
    <s v="SPP07003"/>
    <x v="0"/>
    <x v="0"/>
    <s v="Pap Cooling Tower Distribution Decks X 3 &amp; Mist El"/>
    <x v="1"/>
    <x v="0"/>
    <n v="350000"/>
    <n v="125"/>
    <n v="0"/>
    <n v="217080.25"/>
    <n v="217205.25"/>
    <s v="Luke"/>
    <s v="Bateman"/>
    <s v="SPP01"/>
    <x v="3"/>
    <x v="1"/>
    <x v="1"/>
    <x v="1"/>
    <x v="0"/>
    <x v="0"/>
    <x v="2"/>
    <x v="0"/>
    <x v="0"/>
    <x v="0"/>
    <x v="0"/>
    <x v="0"/>
    <n v="0"/>
  </r>
  <r>
    <s v="G0700017"/>
    <x v="3"/>
    <s v="SCF07504"/>
    <x v="0"/>
    <x v="0"/>
    <s v="Spare - So2 Blower Motor - Stage 1"/>
    <x v="5"/>
    <x v="0"/>
    <n v="139000"/>
    <n v="525127.41"/>
    <n v="-50818.95"/>
    <n v="84818.32"/>
    <n v="609945.73"/>
    <s v="Mark"/>
    <s v="Poli"/>
    <s v="SMS01"/>
    <x v="4"/>
    <x v="1"/>
    <x v="1"/>
    <x v="1"/>
    <x v="0"/>
    <x v="0"/>
    <x v="2"/>
    <x v="0"/>
    <x v="0"/>
    <x v="0"/>
    <x v="0"/>
    <x v="0"/>
    <n v="198583.03"/>
  </r>
  <r>
    <s v="G07QF006"/>
    <x v="0"/>
    <s v="QFO06803"/>
    <x v="0"/>
    <x v="0"/>
    <s v="Fcs Process Cards"/>
    <x v="5"/>
    <x v="0"/>
    <n v="400000"/>
    <n v="-18795.27"/>
    <n v="0"/>
    <n v="18795.27"/>
    <n v="0"/>
    <s v="Lee"/>
    <s v="Mccartney"/>
    <s v="SPE01"/>
    <x v="3"/>
    <x v="1"/>
    <x v="1"/>
    <x v="1"/>
    <x v="0"/>
    <x v="0"/>
    <x v="1"/>
    <x v="0"/>
    <x v="0"/>
    <x v="0"/>
    <x v="0"/>
    <x v="0"/>
    <n v="0"/>
  </r>
  <r>
    <s v="G07QF009"/>
    <x v="3"/>
    <s v="QFOP1A01"/>
    <x v="0"/>
    <x v="0"/>
    <s v="Qfo Acid Plant Improved Process Control"/>
    <x v="5"/>
    <x v="0"/>
    <n v="612000"/>
    <n v="-4575.01"/>
    <n v="0"/>
    <n v="4575.01"/>
    <n v="0"/>
    <s v="Jason"/>
    <s v="O'brien"/>
    <s v="SMS01"/>
    <x v="4"/>
    <x v="1"/>
    <x v="1"/>
    <x v="1"/>
    <x v="0"/>
    <x v="0"/>
    <x v="1"/>
    <x v="0"/>
    <x v="0"/>
    <x v="0"/>
    <x v="0"/>
    <x v="0"/>
    <n v="0"/>
  </r>
  <r>
    <s v="G07SC014"/>
    <x v="0"/>
    <s v="SCF07315"/>
    <x v="0"/>
    <x v="0"/>
    <s v="Spare Nitrogen Compressor Motor"/>
    <x v="5"/>
    <x v="0"/>
    <n v="425000"/>
    <n v="-187479.16"/>
    <n v="0"/>
    <n v="187479.16"/>
    <n v="0"/>
    <s v="Mark"/>
    <s v="Poli"/>
    <s v="SPA01"/>
    <x v="3"/>
    <x v="1"/>
    <x v="1"/>
    <x v="1"/>
    <x v="0"/>
    <x v="0"/>
    <x v="1"/>
    <x v="0"/>
    <x v="0"/>
    <x v="0"/>
    <x v="0"/>
    <x v="0"/>
    <n v="0"/>
  </r>
  <r>
    <m/>
    <x v="4"/>
    <m/>
    <x v="0"/>
    <x v="0"/>
    <s v="Spare Tsf"/>
    <x v="0"/>
    <x v="1"/>
    <m/>
    <n v="187479.16"/>
    <m/>
    <m/>
    <m/>
    <m/>
    <m/>
    <m/>
    <x v="3"/>
    <x v="1"/>
    <x v="0"/>
    <x v="1"/>
    <x v="1"/>
    <x v="1"/>
    <x v="0"/>
    <x v="0"/>
    <x v="1"/>
    <x v="0"/>
    <x v="0"/>
    <x v="0"/>
    <m/>
  </r>
  <r>
    <s v="G07SC018"/>
    <x v="3"/>
    <s v="SCF07513"/>
    <x v="0"/>
    <x v="0"/>
    <s v="Sulphur Furnace Bypass Damper (repl)"/>
    <x v="1"/>
    <x v="0"/>
    <n v="463000"/>
    <n v="38843.800000000003"/>
    <n v="-112527.2"/>
    <n v="313725.21999999997"/>
    <n v="352569.02"/>
    <s v="Stephen"/>
    <s v="Miller"/>
    <s v="SMS01"/>
    <x v="4"/>
    <x v="1"/>
    <x v="1"/>
    <x v="1"/>
    <x v="0"/>
    <x v="0"/>
    <x v="2"/>
    <x v="0"/>
    <x v="0"/>
    <x v="0"/>
    <x v="0"/>
    <x v="0"/>
    <n v="-110577.2"/>
  </r>
  <r>
    <s v="G07SC030"/>
    <x v="3"/>
    <s v="SCF07503"/>
    <x v="0"/>
    <x v="0"/>
    <s v="Fat Acid Cooler Upgr"/>
    <x v="5"/>
    <x v="0"/>
    <n v="2560000"/>
    <n v="6701.67"/>
    <n v="1587.5"/>
    <n v="2259902"/>
    <n v="2266603.67"/>
    <s v="Stephen"/>
    <s v="Miller"/>
    <s v="SMS01"/>
    <x v="4"/>
    <x v="1"/>
    <x v="1"/>
    <x v="1"/>
    <x v="0"/>
    <x v="0"/>
    <x v="2"/>
    <x v="0"/>
    <x v="0"/>
    <x v="0"/>
    <x v="1"/>
    <x v="0"/>
    <n v="3627.5"/>
  </r>
  <r>
    <s v="G0800003"/>
    <x v="0"/>
    <s v="SPO08001"/>
    <x v="0"/>
    <x v="2"/>
    <s v="Monument Aerodrome Pavement (upgr) Stage 1"/>
    <x v="4"/>
    <x v="0"/>
    <n v="4090000"/>
    <n v="1242911.05"/>
    <n v="132716.65"/>
    <n v="3728757.27"/>
    <n v="4971668.32"/>
    <s v="Grant"/>
    <s v="Armstrong"/>
    <s v="SPZ01"/>
    <x v="3"/>
    <x v="1"/>
    <x v="1"/>
    <x v="0"/>
    <x v="0"/>
    <x v="2"/>
    <x v="2"/>
    <x v="0"/>
    <x v="0"/>
    <x v="0"/>
    <x v="1"/>
    <x v="0"/>
    <n v="147206.65"/>
  </r>
  <r>
    <s v="G0800006"/>
    <x v="0"/>
    <s v="SPP08013"/>
    <x v="0"/>
    <x v="0"/>
    <s v="Hh Filter Vacuum Headers X 4  Saf 2205 Repl"/>
    <x v="1"/>
    <x v="0"/>
    <n v="355000"/>
    <n v="648894.09"/>
    <n v="0"/>
    <n v="295435"/>
    <n v="944329.09"/>
    <s v="Scott"/>
    <s v="Costabeber"/>
    <s v="SPP01"/>
    <x v="3"/>
    <x v="1"/>
    <x v="1"/>
    <x v="1"/>
    <x v="0"/>
    <x v="0"/>
    <x v="1"/>
    <x v="0"/>
    <x v="0"/>
    <x v="0"/>
    <x v="0"/>
    <x v="0"/>
    <n v="0"/>
  </r>
  <r>
    <s v="G0800007"/>
    <x v="0"/>
    <s v="SPO08013"/>
    <x v="0"/>
    <x v="0"/>
    <s v="Spare Transformers"/>
    <x v="6"/>
    <x v="0"/>
    <n v="45000"/>
    <n v="-33990"/>
    <n v="-36865"/>
    <n v="33990"/>
    <n v="0"/>
    <s v="John"/>
    <s v="Pannia"/>
    <s v="SPZ15"/>
    <x v="3"/>
    <x v="1"/>
    <x v="1"/>
    <x v="1"/>
    <x v="0"/>
    <x v="0"/>
    <x v="1"/>
    <x v="0"/>
    <x v="0"/>
    <x v="0"/>
    <x v="0"/>
    <x v="0"/>
    <n v="-36865"/>
  </r>
  <r>
    <s v="G0800008"/>
    <x v="0"/>
    <s v="SPP08002"/>
    <x v="0"/>
    <x v="2"/>
    <s v="Gypsum Stack Feed Pumps - Galnd Seal Water System"/>
    <x v="5"/>
    <x v="0"/>
    <n v="7400000"/>
    <n v="1252228.06"/>
    <n v="584.44000000000005"/>
    <n v="6883305.5099999998"/>
    <n v="8135533.5700000003"/>
    <s v="Scott"/>
    <s v="Costabeber"/>
    <s v="SPP01"/>
    <x v="3"/>
    <x v="1"/>
    <x v="1"/>
    <x v="1"/>
    <x v="0"/>
    <x v="0"/>
    <x v="2"/>
    <x v="0"/>
    <x v="0"/>
    <x v="0"/>
    <x v="1"/>
    <x v="0"/>
    <n v="156288.87"/>
  </r>
  <r>
    <s v="G0800009"/>
    <x v="0"/>
    <s v="SPG08011"/>
    <x v="0"/>
    <x v="0"/>
    <s v="Granulator Accelerometer Repl"/>
    <x v="1"/>
    <x v="0"/>
    <n v="62000"/>
    <n v="5507.84"/>
    <n v="0"/>
    <n v="51997.03"/>
    <n v="57504.87"/>
    <s v="Hugh"/>
    <s v="Ly"/>
    <s v="SPG01"/>
    <x v="3"/>
    <x v="1"/>
    <x v="1"/>
    <x v="1"/>
    <x v="0"/>
    <x v="0"/>
    <x v="1"/>
    <x v="0"/>
    <x v="0"/>
    <x v="0"/>
    <x v="0"/>
    <x v="0"/>
    <n v="0"/>
  </r>
  <r>
    <s v="G0800011"/>
    <x v="0"/>
    <s v="SPP08004"/>
    <x v="0"/>
    <x v="0"/>
    <s v="Condensate Spray (mods) To Gas Scrubber Fan"/>
    <x v="5"/>
    <x v="0"/>
    <n v="22000"/>
    <n v="484.38"/>
    <n v="0"/>
    <n v="20675.63"/>
    <n v="21160.01"/>
    <s v="Lauren"/>
    <s v="Amos"/>
    <s v="SPP01"/>
    <x v="3"/>
    <x v="1"/>
    <x v="1"/>
    <x v="1"/>
    <x v="0"/>
    <x v="0"/>
    <x v="1"/>
    <x v="0"/>
    <x v="0"/>
    <x v="0"/>
    <x v="0"/>
    <x v="0"/>
    <n v="0"/>
  </r>
  <r>
    <s v="G0800013"/>
    <x v="0"/>
    <s v="SPP08015"/>
    <x v="0"/>
    <x v="0"/>
    <s v="Distribution Board For Phos Acid Crib Facility"/>
    <x v="1"/>
    <x v="0"/>
    <n v="5000"/>
    <n v="282.22000000000003"/>
    <n v="0"/>
    <n v="4836.32"/>
    <n v="5118.54"/>
    <s v="Micheal"/>
    <s v="Morley"/>
    <s v="SPP01"/>
    <x v="3"/>
    <x v="1"/>
    <x v="1"/>
    <x v="1"/>
    <x v="0"/>
    <x v="0"/>
    <x v="1"/>
    <x v="0"/>
    <x v="0"/>
    <x v="0"/>
    <x v="0"/>
    <x v="0"/>
    <n v="0"/>
  </r>
  <r>
    <s v="G0800014"/>
    <x v="0"/>
    <s v="SPP08001"/>
    <x v="0"/>
    <x v="0"/>
    <s v="Product Acid Tank A Repl"/>
    <x v="1"/>
    <x v="0"/>
    <n v="675000"/>
    <n v="11973.02"/>
    <n v="0"/>
    <n v="551410.24"/>
    <n v="563383.26"/>
    <s v="Andrew"/>
    <s v="Mitchell"/>
    <s v="SPP01"/>
    <x v="3"/>
    <x v="1"/>
    <x v="1"/>
    <x v="1"/>
    <x v="0"/>
    <x v="0"/>
    <x v="2"/>
    <x v="0"/>
    <x v="0"/>
    <x v="0"/>
    <x v="0"/>
    <x v="0"/>
    <n v="0"/>
  </r>
  <r>
    <s v="G0800015"/>
    <x v="0"/>
    <s v="SPP08003"/>
    <x v="0"/>
    <x v="0"/>
    <s v="Upgrade Reactor 1b Baffles"/>
    <x v="1"/>
    <x v="0"/>
    <n v="4870000"/>
    <n v="5146.38"/>
    <n v="0"/>
    <n v="4313009.9400000004"/>
    <n v="4318156.32"/>
    <s v="Douglas"/>
    <s v="Lee"/>
    <s v="SPP01"/>
    <x v="3"/>
    <x v="1"/>
    <x v="1"/>
    <x v="1"/>
    <x v="0"/>
    <x v="0"/>
    <x v="1"/>
    <x v="0"/>
    <x v="0"/>
    <x v="0"/>
    <x v="1"/>
    <x v="0"/>
    <n v="0"/>
  </r>
  <r>
    <s v="G0800018"/>
    <x v="0"/>
    <s v="SPP08016"/>
    <x v="0"/>
    <x v="0"/>
    <s v="1a &amp; 1c Reactor Vessel Baffle Upgr"/>
    <x v="1"/>
    <x v="0"/>
    <n v="850000"/>
    <n v="21362.05"/>
    <n v="13495"/>
    <n v="597184.06000000006"/>
    <n v="618546.11"/>
    <s v="Doulas"/>
    <s v="Lee"/>
    <s v="SPP01"/>
    <x v="3"/>
    <x v="1"/>
    <x v="1"/>
    <x v="1"/>
    <x v="0"/>
    <x v="0"/>
    <x v="2"/>
    <x v="0"/>
    <x v="0"/>
    <x v="0"/>
    <x v="0"/>
    <x v="0"/>
    <n v="38237.06"/>
  </r>
  <r>
    <s v="G0800019"/>
    <x v="0"/>
    <s v="SPP08017"/>
    <x v="0"/>
    <x v="0"/>
    <s v="Pap Reactor Baffle Flush System"/>
    <x v="5"/>
    <x v="0"/>
    <n v="75000"/>
    <n v="-15720.12"/>
    <n v="0"/>
    <n v="72778.7"/>
    <n v="57058.58"/>
    <s v="Luke"/>
    <s v="Bateman"/>
    <s v="SPP01"/>
    <x v="3"/>
    <x v="1"/>
    <x v="1"/>
    <x v="1"/>
    <x v="0"/>
    <x v="0"/>
    <x v="1"/>
    <x v="0"/>
    <x v="0"/>
    <x v="0"/>
    <x v="0"/>
    <x v="0"/>
    <n v="0"/>
  </r>
  <r>
    <s v="G080002"/>
    <x v="0"/>
    <s v="G0800022"/>
    <x v="0"/>
    <x v="0"/>
    <s v="Unknown"/>
    <x v="0"/>
    <x v="0"/>
    <n v="0"/>
    <n v="50735.69"/>
    <n v="0"/>
    <n v="0"/>
    <n v="50735.69"/>
    <m/>
    <m/>
    <m/>
    <x v="0"/>
    <x v="0"/>
    <x v="0"/>
    <x v="0"/>
    <x v="0"/>
    <x v="0"/>
    <x v="0"/>
    <x v="0"/>
    <x v="0"/>
    <x v="0"/>
    <x v="0"/>
    <x v="0"/>
    <n v="0"/>
  </r>
  <r>
    <s v="G0800020"/>
    <x v="3"/>
    <s v="SMI07003"/>
    <x v="0"/>
    <x v="0"/>
    <s v="Spoon Drain Upgr - CoMMUnity Side Of Rail Load Are"/>
    <x v="3"/>
    <x v="0"/>
    <n v="140000"/>
    <n v="21327.82"/>
    <n v="0"/>
    <n v="108189.04"/>
    <n v="129516.86"/>
    <s v="Glen"/>
    <s v="Bradshaw"/>
    <s v="SMS01"/>
    <x v="4"/>
    <x v="1"/>
    <x v="1"/>
    <x v="0"/>
    <x v="0"/>
    <x v="2"/>
    <x v="1"/>
    <x v="0"/>
    <x v="0"/>
    <x v="0"/>
    <x v="0"/>
    <x v="0"/>
    <n v="0"/>
  </r>
  <r>
    <s v="G0800021"/>
    <x v="0"/>
    <s v="SPA08012"/>
    <x v="0"/>
    <x v="2"/>
    <s v="Aspen Tech Pilot Advanced Process Control"/>
    <x v="5"/>
    <x v="0"/>
    <n v="168000"/>
    <n v="164101.82"/>
    <n v="2128.6799999999998"/>
    <n v="63251.27"/>
    <n v="227353.09"/>
    <s v="Kobus"/>
    <s v="Kirsten"/>
    <s v="SPA01"/>
    <x v="3"/>
    <x v="1"/>
    <x v="1"/>
    <x v="1"/>
    <x v="0"/>
    <x v="0"/>
    <x v="2"/>
    <x v="0"/>
    <x v="0"/>
    <x v="0"/>
    <x v="0"/>
    <x v="0"/>
    <n v="6208.65"/>
  </r>
  <r>
    <s v="G0800022"/>
    <x v="3"/>
    <s v="SPO07007"/>
    <x v="0"/>
    <x v="0"/>
    <s v="Upgr Security Mt Isa Warehouse"/>
    <x v="3"/>
    <x v="0"/>
    <n v="60000"/>
    <n v="-44938.37"/>
    <n v="0"/>
    <n v="44938.37"/>
    <n v="0"/>
    <s v="Heath"/>
    <s v="Ascott"/>
    <s v="SMS01"/>
    <x v="4"/>
    <x v="1"/>
    <x v="1"/>
    <x v="1"/>
    <x v="0"/>
    <x v="0"/>
    <x v="1"/>
    <x v="0"/>
    <x v="0"/>
    <x v="0"/>
    <x v="0"/>
    <x v="0"/>
    <n v="0"/>
  </r>
  <r>
    <s v="G0800023"/>
    <x v="0"/>
    <s v="SPP08018"/>
    <x v="0"/>
    <x v="0"/>
    <s v="Stage 2 of SPP07001 - Reactor 1A Baffles upgr"/>
    <x v="1"/>
    <x v="0"/>
    <n v="4340000"/>
    <n v="-4140472.13"/>
    <n v="0"/>
    <n v="4140472.13"/>
    <n v="0"/>
    <s v="Douglas"/>
    <s v="Lee"/>
    <s v="SPP01"/>
    <x v="3"/>
    <x v="1"/>
    <x v="1"/>
    <x v="1"/>
    <x v="0"/>
    <x v="0"/>
    <x v="2"/>
    <x v="0"/>
    <x v="0"/>
    <x v="0"/>
    <x v="1"/>
    <x v="0"/>
    <n v="0"/>
  </r>
  <r>
    <s v="G0800030"/>
    <x v="0"/>
    <s v="ICAPPP08004"/>
    <x v="0"/>
    <x v="0"/>
    <s v="Hh Filter Belt B Carry Belt &amp; Curbing"/>
    <x v="1"/>
    <x v="0"/>
    <n v="558000"/>
    <n v="397316.35"/>
    <n v="0"/>
    <n v="119455.4"/>
    <n v="516771.75"/>
    <s v="Gavin"/>
    <s v="Blaik"/>
    <s v="SPP01"/>
    <x v="3"/>
    <x v="1"/>
    <x v="1"/>
    <x v="1"/>
    <x v="0"/>
    <x v="0"/>
    <x v="1"/>
    <x v="0"/>
    <x v="0"/>
    <x v="0"/>
    <x v="0"/>
    <x v="0"/>
    <n v="0"/>
  </r>
  <r>
    <s v="G0800031"/>
    <x v="0"/>
    <s v="ICAPPG08005"/>
    <x v="0"/>
    <x v="3"/>
    <s v="Pre Neutraliser Vessel Insulation"/>
    <x v="1"/>
    <x v="0"/>
    <n v="183000"/>
    <n v="108344.29"/>
    <n v="0"/>
    <n v="86.7"/>
    <n v="108430.99"/>
    <s v="Dean"/>
    <s v="Farley"/>
    <s v="SPG01"/>
    <x v="3"/>
    <x v="1"/>
    <x v="1"/>
    <x v="1"/>
    <x v="0"/>
    <x v="0"/>
    <x v="2"/>
    <x v="0"/>
    <x v="0"/>
    <x v="0"/>
    <x v="0"/>
    <x v="0"/>
    <n v="0"/>
  </r>
  <r>
    <s v="G0800038"/>
    <x v="0"/>
    <s v="SPP08020"/>
    <x v="0"/>
    <x v="0"/>
    <s v="Decant Water Pipework Upgr"/>
    <x v="1"/>
    <x v="0"/>
    <n v="935000"/>
    <n v="552392.22"/>
    <n v="0"/>
    <n v="444917.7"/>
    <n v="997309.92"/>
    <s v="David"/>
    <s v="Bassingthwaighte"/>
    <s v="SPP01"/>
    <x v="3"/>
    <x v="1"/>
    <x v="1"/>
    <x v="1"/>
    <x v="0"/>
    <x v="0"/>
    <x v="2"/>
    <x v="0"/>
    <x v="0"/>
    <x v="0"/>
    <x v="0"/>
    <x v="0"/>
    <n v="-40"/>
  </r>
  <r>
    <s v="G0800039"/>
    <x v="0"/>
    <s v="SPP07005"/>
    <x v="0"/>
    <x v="0"/>
    <s v="Interconection Of Slurry Tanks"/>
    <x v="4"/>
    <x v="0"/>
    <n v="262000"/>
    <n v="2884"/>
    <n v="0"/>
    <n v="125252.54"/>
    <n v="128136.54"/>
    <s v="Andrew"/>
    <s v="Mitchell"/>
    <s v="SPP01"/>
    <x v="3"/>
    <x v="1"/>
    <x v="1"/>
    <x v="1"/>
    <x v="0"/>
    <x v="0"/>
    <x v="2"/>
    <x v="0"/>
    <x v="0"/>
    <x v="0"/>
    <x v="0"/>
    <x v="0"/>
    <n v="0"/>
  </r>
  <r>
    <s v="G0800040"/>
    <x v="3"/>
    <s v="ICAPMI08009"/>
    <x v="0"/>
    <x v="0"/>
    <s v="Radial Flow Scurbber Re-brick X 4"/>
    <x v="1"/>
    <x v="0"/>
    <n v="940000"/>
    <n v="681791.89"/>
    <n v="0"/>
    <n v="992054.92"/>
    <n v="1673846.81"/>
    <s v="Stephen"/>
    <s v="Miller"/>
    <s v="SMS01"/>
    <x v="4"/>
    <x v="1"/>
    <x v="1"/>
    <x v="1"/>
    <x v="0"/>
    <x v="0"/>
    <x v="1"/>
    <x v="0"/>
    <x v="0"/>
    <x v="0"/>
    <x v="0"/>
    <x v="0"/>
    <n v="795819.85"/>
  </r>
  <r>
    <s v="G0800041"/>
    <x v="0"/>
    <s v="SCF07901"/>
    <x v="0"/>
    <x v="0"/>
    <s v="Upgr Phos Hil Diesel &amp; Ulp Fuel Supplies Monument"/>
    <x v="3"/>
    <x v="0"/>
    <n v="198000"/>
    <n v="-36084.18"/>
    <n v="-37234.18"/>
    <n v="36084.18"/>
    <n v="0"/>
    <s v="Paul"/>
    <s v="McLoughlin"/>
    <s v="SPZ02"/>
    <x v="3"/>
    <x v="1"/>
    <x v="1"/>
    <x v="1"/>
    <x v="0"/>
    <x v="0"/>
    <x v="2"/>
    <x v="0"/>
    <x v="0"/>
    <x v="0"/>
    <x v="0"/>
    <x v="0"/>
    <n v="-37234.18"/>
  </r>
  <r>
    <s v="G0800042"/>
    <x v="0"/>
    <s v="SCO08001"/>
    <x v="0"/>
    <x v="1"/>
    <s v="Phos Hill &amp; Misa  2009 Shut"/>
    <x v="1"/>
    <x v="0"/>
    <n v="6100000"/>
    <n v="6509794.0999999996"/>
    <n v="594102.17000000004"/>
    <n v="1169363.79"/>
    <n v="7679157.8899999997"/>
    <s v="Dan"/>
    <s v="Miller"/>
    <s v="ZM203"/>
    <x v="3"/>
    <x v="1"/>
    <x v="1"/>
    <x v="1"/>
    <x v="0"/>
    <x v="0"/>
    <x v="2"/>
    <x v="0"/>
    <x v="0"/>
    <x v="0"/>
    <x v="1"/>
    <x v="0"/>
    <n v="2395736.5299999998"/>
  </r>
  <r>
    <s v="G0800047"/>
    <x v="3"/>
    <s v="SMI08007"/>
    <x v="0"/>
    <x v="0"/>
    <s v="So2 Analyser Processer Units To Mcc Room"/>
    <x v="4"/>
    <x v="0"/>
    <n v="105000"/>
    <n v="19892.14"/>
    <n v="0"/>
    <n v="103438.45"/>
    <n v="123330.59"/>
    <s v="Rehne"/>
    <s v="Anderson"/>
    <s v="SMS01"/>
    <x v="4"/>
    <x v="1"/>
    <x v="1"/>
    <x v="1"/>
    <x v="0"/>
    <x v="0"/>
    <x v="2"/>
    <x v="0"/>
    <x v="0"/>
    <x v="0"/>
    <x v="0"/>
    <x v="0"/>
    <n v="-577.42999999999995"/>
  </r>
  <r>
    <s v="G0800048"/>
    <x v="3"/>
    <s v="SMI08017"/>
    <x v="0"/>
    <x v="0"/>
    <s v="Munsch Pump Strainer And Agitation System Trial"/>
    <x v="3"/>
    <x v="0"/>
    <n v="49000"/>
    <n v="44275.59"/>
    <n v="0"/>
    <n v="9639.2800000000007"/>
    <n v="53914.87"/>
    <s v="Jarryd"/>
    <s v="Knickel"/>
    <s v="SMS01"/>
    <x v="4"/>
    <x v="1"/>
    <x v="1"/>
    <x v="1"/>
    <x v="0"/>
    <x v="0"/>
    <x v="1"/>
    <x v="0"/>
    <x v="0"/>
    <x v="0"/>
    <x v="0"/>
    <x v="0"/>
    <n v="0"/>
  </r>
  <r>
    <s v="G0800049"/>
    <x v="0"/>
    <s v="SPP08022"/>
    <x v="0"/>
    <x v="2"/>
    <s v="Upgrading 20% Acid Export System"/>
    <x v="4"/>
    <x v="0"/>
    <n v="418000"/>
    <n v="302785.5"/>
    <n v="50116.9"/>
    <n v="146771.6"/>
    <n v="449557.1"/>
    <s v="Tom"/>
    <s v="Wilson"/>
    <s v="SPP01"/>
    <x v="3"/>
    <x v="1"/>
    <x v="1"/>
    <x v="1"/>
    <x v="0"/>
    <x v="0"/>
    <x v="2"/>
    <x v="0"/>
    <x v="0"/>
    <x v="0"/>
    <x v="0"/>
    <x v="0"/>
    <n v="122411.85"/>
  </r>
  <r>
    <s v="G0800050"/>
    <x v="0"/>
    <s v="SPO08013"/>
    <x v="0"/>
    <x v="0"/>
    <s v="Spare 200kva Wilson Transformer"/>
    <x v="6"/>
    <x v="0"/>
    <n v="90000"/>
    <n v="73287"/>
    <n v="0"/>
    <n v="0"/>
    <n v="73287"/>
    <s v="Hugh"/>
    <s v="Ly"/>
    <s v="SPE02"/>
    <x v="3"/>
    <x v="1"/>
    <x v="1"/>
    <x v="1"/>
    <x v="0"/>
    <x v="0"/>
    <x v="1"/>
    <x v="0"/>
    <x v="0"/>
    <x v="0"/>
    <x v="0"/>
    <x v="0"/>
    <n v="0"/>
  </r>
  <r>
    <s v="G0800051"/>
    <x v="0"/>
    <s v="ICAPPP08009"/>
    <x v="0"/>
    <x v="3"/>
    <s v="Intermediate Acid Storage Tank 3 Reline"/>
    <x v="1"/>
    <x v="0"/>
    <n v="850000"/>
    <n v="14704.63"/>
    <n v="0"/>
    <n v="7028.95"/>
    <n v="21733.58"/>
    <s v="Douglas"/>
    <s v="Lee"/>
    <s v="SPP01"/>
    <x v="3"/>
    <x v="1"/>
    <x v="1"/>
    <x v="1"/>
    <x v="0"/>
    <x v="0"/>
    <x v="2"/>
    <x v="0"/>
    <x v="0"/>
    <x v="0"/>
    <x v="0"/>
    <x v="0"/>
    <n v="0"/>
  </r>
  <r>
    <s v="G0800052"/>
    <x v="2"/>
    <s v="INO08008"/>
    <x v="3"/>
    <x v="4"/>
    <s v="Ar (c) Mackay Pdc Shed Upgr"/>
    <x v="1"/>
    <x v="0"/>
    <n v="978998"/>
    <n v="337209.8"/>
    <n v="0"/>
    <n v="655343.82999999996"/>
    <n v="992553.63"/>
    <s v="Ray"/>
    <s v="Gofton"/>
    <s v="FWM08"/>
    <x v="5"/>
    <x v="1"/>
    <x v="1"/>
    <x v="0"/>
    <x v="2"/>
    <x v="0"/>
    <x v="1"/>
    <x v="0"/>
    <x v="0"/>
    <x v="0"/>
    <x v="0"/>
    <x v="0"/>
    <n v="0"/>
  </r>
  <r>
    <s v="G0800054"/>
    <x v="0"/>
    <s v="SPA08013"/>
    <x v="0"/>
    <x v="0"/>
    <s v="Asu Analyser Replacement"/>
    <x v="1"/>
    <x v="0"/>
    <n v="66000"/>
    <n v="57417.86"/>
    <n v="0"/>
    <n v="8692.58"/>
    <n v="66110.44"/>
    <s v="Hugh"/>
    <s v="Ly"/>
    <s v="SPA01"/>
    <x v="3"/>
    <x v="1"/>
    <x v="1"/>
    <x v="1"/>
    <x v="0"/>
    <x v="0"/>
    <x v="1"/>
    <x v="0"/>
    <x v="0"/>
    <x v="0"/>
    <x v="0"/>
    <x v="0"/>
    <n v="0"/>
  </r>
  <r>
    <s v="G0800055"/>
    <x v="0"/>
    <s v="SPF07001"/>
    <x v="0"/>
    <x v="5"/>
    <s v="Gatx String x 1 - AP Expansion project Stage 1"/>
    <x v="3"/>
    <x v="0"/>
    <n v="9206000"/>
    <n v="-1689020.85"/>
    <n v="-943820.83"/>
    <n v="1689020.85"/>
    <n v="0"/>
    <s v="Mark"/>
    <s v="Surgeon"/>
    <s v="SPF01"/>
    <x v="3"/>
    <x v="1"/>
    <x v="1"/>
    <x v="1"/>
    <x v="0"/>
    <x v="0"/>
    <x v="2"/>
    <x v="0"/>
    <x v="0"/>
    <x v="0"/>
    <x v="1"/>
    <x v="0"/>
    <n v="-6724857.3799999999"/>
  </r>
  <r>
    <s v="G0800057"/>
    <x v="3"/>
    <s v="SMI08006"/>
    <x v="0"/>
    <x v="0"/>
    <s v="Maintenance Workshop Mt Isa"/>
    <x v="1"/>
    <x v="0"/>
    <n v="910000"/>
    <n v="-109702.13"/>
    <n v="-193146.67"/>
    <n v="109702.13"/>
    <n v="0"/>
    <s v="Heath"/>
    <s v="Ascott"/>
    <s v="SMS02"/>
    <x v="4"/>
    <x v="1"/>
    <x v="1"/>
    <x v="0"/>
    <x v="2"/>
    <x v="0"/>
    <x v="2"/>
    <x v="0"/>
    <x v="0"/>
    <x v="0"/>
    <x v="0"/>
    <x v="0"/>
    <n v="-193146.67"/>
  </r>
  <r>
    <s v="G0800059"/>
    <x v="0"/>
    <s v="SPA08001"/>
    <x v="0"/>
    <x v="0"/>
    <s v="Intercooler Bundles For Main Air Compressor (mac)"/>
    <x v="4"/>
    <x v="0"/>
    <n v="350000"/>
    <n v="369308.18"/>
    <n v="0"/>
    <n v="0"/>
    <n v="369308.18"/>
    <s v="Andrew"/>
    <s v="Cleverdon"/>
    <s v="SPA01"/>
    <x v="3"/>
    <x v="1"/>
    <x v="1"/>
    <x v="1"/>
    <x v="0"/>
    <x v="0"/>
    <x v="2"/>
    <x v="0"/>
    <x v="0"/>
    <x v="0"/>
    <x v="0"/>
    <x v="0"/>
    <n v="0"/>
  </r>
  <r>
    <s v="G0800060"/>
    <x v="0"/>
    <s v="SPO08023"/>
    <x v="0"/>
    <x v="2"/>
    <s v="Medical Centre Upgr - Phos Hill"/>
    <x v="3"/>
    <x v="0"/>
    <n v="301000"/>
    <n v="-7482.27"/>
    <n v="-7877.59"/>
    <n v="16482.27"/>
    <n v="9000"/>
    <s v="Tom"/>
    <s v="Wilson"/>
    <s v="SPZ13"/>
    <x v="3"/>
    <x v="1"/>
    <x v="1"/>
    <x v="1"/>
    <x v="0"/>
    <x v="0"/>
    <x v="2"/>
    <x v="0"/>
    <x v="0"/>
    <x v="0"/>
    <x v="0"/>
    <x v="0"/>
    <n v="-7877.59"/>
  </r>
  <r>
    <s v="G0800061"/>
    <x v="3"/>
    <s v="SPO08011"/>
    <x v="0"/>
    <x v="0"/>
    <s v="2* So2 Detectors In Mcc Oxidation Plant"/>
    <x v="3"/>
    <x v="0"/>
    <n v="24000"/>
    <n v="1364.78"/>
    <n v="0"/>
    <n v="20794.68"/>
    <n v="22159.46"/>
    <s v="Rehne"/>
    <s v="Andersen"/>
    <s v="SMS01"/>
    <x v="6"/>
    <x v="3"/>
    <x v="1"/>
    <x v="1"/>
    <x v="0"/>
    <x v="0"/>
    <x v="1"/>
    <x v="0"/>
    <x v="0"/>
    <x v="0"/>
    <x v="0"/>
    <x v="0"/>
    <n v="0"/>
  </r>
  <r>
    <s v="G0800063"/>
    <x v="0"/>
    <s v="SPO08011"/>
    <x v="0"/>
    <x v="0"/>
    <s v="Drying Oven - 2100 Contherm 100 Ltr Forced Convect"/>
    <x v="1"/>
    <x v="0"/>
    <n v="3100"/>
    <n v="3067.7"/>
    <n v="0"/>
    <n v="0"/>
    <n v="3067.7"/>
    <s v="Susan"/>
    <s v="Lucas"/>
    <s v="SPZ03"/>
    <x v="3"/>
    <x v="1"/>
    <x v="1"/>
    <x v="1"/>
    <x v="0"/>
    <x v="0"/>
    <x v="1"/>
    <x v="0"/>
    <x v="0"/>
    <x v="0"/>
    <x v="0"/>
    <x v="0"/>
    <n v="0"/>
  </r>
  <r>
    <s v="G0800064"/>
    <x v="0"/>
    <s v="SPP08025"/>
    <x v="0"/>
    <x v="0"/>
    <s v="Pap Evaporator Recirc Motor Incl Spare (50% ea)"/>
    <x v="1"/>
    <x v="0"/>
    <n v="85000"/>
    <n v="24774.11"/>
    <n v="0"/>
    <n v="65703.78"/>
    <n v="90477.89"/>
    <s v="Vic"/>
    <s v="Odman"/>
    <s v="SPP01"/>
    <x v="3"/>
    <x v="1"/>
    <x v="1"/>
    <x v="1"/>
    <x v="0"/>
    <x v="0"/>
    <x v="2"/>
    <x v="0"/>
    <x v="0"/>
    <x v="0"/>
    <x v="0"/>
    <x v="0"/>
    <n v="0"/>
  </r>
  <r>
    <s v="G0800065"/>
    <x v="3"/>
    <s v="SMI08014"/>
    <x v="0"/>
    <x v="0"/>
    <s v="Additional Molten Sulphur Line- Stage 1"/>
    <x v="4"/>
    <x v="0"/>
    <n v="130000"/>
    <n v="63023.39"/>
    <n v="300"/>
    <n v="24877.599999999999"/>
    <n v="87900.99"/>
    <s v="Stephen"/>
    <s v="Miller"/>
    <s v="SMS01"/>
    <x v="4"/>
    <x v="1"/>
    <x v="1"/>
    <x v="1"/>
    <x v="0"/>
    <x v="0"/>
    <x v="2"/>
    <x v="0"/>
    <x v="0"/>
    <x v="0"/>
    <x v="0"/>
    <x v="0"/>
    <n v="600"/>
  </r>
  <r>
    <s v="G0800066"/>
    <x v="0"/>
    <s v="SPA08015"/>
    <x v="0"/>
    <x v="0"/>
    <s v="Level Transmitters X 6"/>
    <x v="1"/>
    <x v="0"/>
    <n v="53000"/>
    <n v="49379.23"/>
    <n v="0"/>
    <n v="0"/>
    <n v="49379.23"/>
    <s v="Phil"/>
    <s v="Chapman"/>
    <s v="SPA01"/>
    <x v="3"/>
    <x v="1"/>
    <x v="1"/>
    <x v="1"/>
    <x v="0"/>
    <x v="0"/>
    <x v="1"/>
    <x v="0"/>
    <x v="0"/>
    <x v="0"/>
    <x v="0"/>
    <x v="0"/>
    <n v="0"/>
  </r>
  <r>
    <s v="G0800067"/>
    <x v="3"/>
    <s v="SMI08022"/>
    <x v="0"/>
    <x v="0"/>
    <s v="Upgr Brick Lining Converter Radial Flow Scrubber 1"/>
    <x v="1"/>
    <x v="0"/>
    <n v="1820000"/>
    <n v="693397.7"/>
    <n v="0"/>
    <n v="15736.78"/>
    <n v="709134.48"/>
    <s v="Stephen"/>
    <s v="Miller"/>
    <s v="SMS01"/>
    <x v="6"/>
    <x v="3"/>
    <x v="1"/>
    <x v="1"/>
    <x v="0"/>
    <x v="0"/>
    <x v="1"/>
    <x v="0"/>
    <x v="0"/>
    <x v="0"/>
    <x v="0"/>
    <x v="0"/>
    <n v="-795819.85"/>
  </r>
  <r>
    <s v="G0800068"/>
    <x v="0"/>
    <s v="SPO08011"/>
    <x v="0"/>
    <x v="0"/>
    <s v="Wireless Insturment Monitoring System - Phos Acid"/>
    <x v="4"/>
    <x v="0"/>
    <n v="47000"/>
    <n v="-26805"/>
    <n v="0"/>
    <n v="78924.960000000006"/>
    <n v="52119.96"/>
    <s v="Peter"/>
    <s v="Glassop"/>
    <s v="SPP01"/>
    <x v="3"/>
    <x v="1"/>
    <x v="1"/>
    <x v="1"/>
    <x v="0"/>
    <x v="0"/>
    <x v="2"/>
    <x v="0"/>
    <x v="0"/>
    <x v="0"/>
    <x v="0"/>
    <x v="0"/>
    <n v="0"/>
  </r>
  <r>
    <s v="G0800069"/>
    <x v="0"/>
    <s v="SPO08011"/>
    <x v="0"/>
    <x v="0"/>
    <s v="Hf Detection System - Lab"/>
    <x v="1"/>
    <x v="0"/>
    <n v="7000"/>
    <n v="8296.14"/>
    <n v="0"/>
    <n v="140.91999999999999"/>
    <n v="8437.06"/>
    <s v="Susan"/>
    <s v="Lucas"/>
    <s v="SPZ03"/>
    <x v="3"/>
    <x v="1"/>
    <x v="1"/>
    <x v="1"/>
    <x v="0"/>
    <x v="0"/>
    <x v="2"/>
    <x v="0"/>
    <x v="0"/>
    <x v="0"/>
    <x v="0"/>
    <x v="0"/>
    <n v="0"/>
  </r>
  <r>
    <s v="G0800070"/>
    <x v="0"/>
    <s v="SPO08011"/>
    <x v="0"/>
    <x v="0"/>
    <s v="Level Transmitter Reactor 2 - Additional"/>
    <x v="4"/>
    <x v="0"/>
    <n v="18000"/>
    <n v="11458.04"/>
    <n v="0"/>
    <n v="460"/>
    <n v="11918.04"/>
    <s v="Rehne"/>
    <s v="Andersen"/>
    <s v="SPP01"/>
    <x v="3"/>
    <x v="1"/>
    <x v="1"/>
    <x v="1"/>
    <x v="0"/>
    <x v="0"/>
    <x v="2"/>
    <x v="0"/>
    <x v="0"/>
    <x v="0"/>
    <x v="0"/>
    <x v="0"/>
    <n v="0"/>
  </r>
  <r>
    <s v="G0800072"/>
    <x v="0"/>
    <s v="SPO08011"/>
    <x v="0"/>
    <x v="0"/>
    <s v="Lel Detector Repl. Solar Turbine Facility"/>
    <x v="3"/>
    <x v="0"/>
    <n v="46000"/>
    <n v="45132.9"/>
    <n v="0"/>
    <n v="0"/>
    <n v="45132.9"/>
    <s v="Peter"/>
    <s v="Glassop"/>
    <s v="SPU02"/>
    <x v="3"/>
    <x v="1"/>
    <x v="1"/>
    <x v="1"/>
    <x v="0"/>
    <x v="0"/>
    <x v="2"/>
    <x v="0"/>
    <x v="0"/>
    <x v="0"/>
    <x v="0"/>
    <x v="0"/>
    <n v="0"/>
  </r>
  <r>
    <s v="G0800073"/>
    <x v="0"/>
    <s v="SPA08004"/>
    <x v="0"/>
    <x v="0"/>
    <s v="Tgset Protection &amp; Avr Upgr"/>
    <x v="4"/>
    <x v="0"/>
    <n v="194000"/>
    <n v="118540.86"/>
    <n v="-9562.5"/>
    <n v="0"/>
    <n v="118540.86"/>
    <s v="Andrew"/>
    <s v="Cantamessa"/>
    <s v="SPA01"/>
    <x v="3"/>
    <x v="1"/>
    <x v="1"/>
    <x v="1"/>
    <x v="0"/>
    <x v="0"/>
    <x v="2"/>
    <x v="0"/>
    <x v="0"/>
    <x v="0"/>
    <x v="0"/>
    <x v="0"/>
    <n v="-13375"/>
  </r>
  <r>
    <s v="G0800074"/>
    <x v="0"/>
    <s v="SPP08026"/>
    <x v="0"/>
    <x v="0"/>
    <s v="Reactor 1c Baffle Refurb"/>
    <x v="1"/>
    <x v="0"/>
    <n v="623000"/>
    <n v="-622867.56000000006"/>
    <n v="0"/>
    <n v="622867.56000000006"/>
    <n v="0"/>
    <s v="Gavin"/>
    <s v="Blaik"/>
    <s v="SPP01"/>
    <x v="3"/>
    <x v="1"/>
    <x v="1"/>
    <x v="1"/>
    <x v="0"/>
    <x v="0"/>
    <x v="1"/>
    <x v="0"/>
    <x v="0"/>
    <x v="0"/>
    <x v="0"/>
    <x v="0"/>
    <n v="0"/>
  </r>
  <r>
    <s v="G0800076"/>
    <x v="0"/>
    <s v="SPP08027"/>
    <x v="0"/>
    <x v="0"/>
    <s v="Reactor 2 Baffles - Upgr Stage 2"/>
    <x v="4"/>
    <x v="0"/>
    <n v="2100000"/>
    <n v="29044.42"/>
    <n v="0"/>
    <n v="2045685.93"/>
    <n v="2074730.35"/>
    <s v="Doulas"/>
    <s v="Lee"/>
    <s v="SPP01"/>
    <x v="3"/>
    <x v="1"/>
    <x v="1"/>
    <x v="1"/>
    <x v="0"/>
    <x v="0"/>
    <x v="1"/>
    <x v="0"/>
    <x v="0"/>
    <x v="0"/>
    <x v="1"/>
    <x v="0"/>
    <n v="0"/>
  </r>
  <r>
    <s v="G0800077"/>
    <x v="3"/>
    <s v="SMI08015"/>
    <x v="0"/>
    <x v="0"/>
    <s v="Demineralised Water Treatment Plant"/>
    <x v="4"/>
    <x v="0"/>
    <n v="1700000"/>
    <n v="2217015.4"/>
    <n v="94535.63"/>
    <n v="0"/>
    <n v="2217015.4"/>
    <s v="Stephen"/>
    <s v="Miller"/>
    <s v="SMS01"/>
    <x v="4"/>
    <x v="1"/>
    <x v="1"/>
    <x v="1"/>
    <x v="0"/>
    <x v="0"/>
    <x v="2"/>
    <x v="0"/>
    <x v="0"/>
    <x v="0"/>
    <x v="0"/>
    <x v="0"/>
    <n v="456742.94"/>
  </r>
  <r>
    <s v="G0900001"/>
    <x v="3"/>
    <s v="SMS09001"/>
    <x v="0"/>
    <x v="0"/>
    <s v="Spare - Sulphur Burner"/>
    <x v="6"/>
    <x v="0"/>
    <n v="250000"/>
    <n v="23478.89"/>
    <n v="0"/>
    <n v="0"/>
    <n v="23478.89"/>
    <s v="Brett"/>
    <s v="Landells"/>
    <s v="SMS01"/>
    <x v="4"/>
    <x v="1"/>
    <x v="1"/>
    <x v="1"/>
    <x v="0"/>
    <x v="0"/>
    <x v="2"/>
    <x v="1"/>
    <x v="0"/>
    <x v="0"/>
    <x v="0"/>
    <x v="1"/>
    <n v="0"/>
  </r>
  <r>
    <s v="G0900002"/>
    <x v="0"/>
    <s v="SPO09002"/>
    <x v="0"/>
    <x v="0"/>
    <s v="Potable Water Automatic Sampling &amp; Chlorination St"/>
    <x v="4"/>
    <x v="0"/>
    <n v="43000"/>
    <n v="32483.61"/>
    <n v="0"/>
    <n v="0"/>
    <n v="32483.61"/>
    <s v="Hans"/>
    <s v="Van Bovene"/>
    <s v="SPZ08"/>
    <x v="3"/>
    <x v="1"/>
    <x v="1"/>
    <x v="1"/>
    <x v="0"/>
    <x v="0"/>
    <x v="2"/>
    <x v="1"/>
    <x v="0"/>
    <x v="0"/>
    <x v="0"/>
    <x v="1"/>
    <n v="577.5"/>
  </r>
  <r>
    <s v="G0900003"/>
    <x v="0"/>
    <s v="SPM08001"/>
    <x v="0"/>
    <x v="0"/>
    <s v="Mining Standpipe Structure Relocation"/>
    <x v="4"/>
    <x v="0"/>
    <n v="109000"/>
    <n v="107574.6"/>
    <n v="0"/>
    <n v="0"/>
    <n v="107574.6"/>
    <s v="Andrew"/>
    <s v="Jacklyn"/>
    <s v="SPM01"/>
    <x v="3"/>
    <x v="1"/>
    <x v="1"/>
    <x v="1"/>
    <x v="0"/>
    <x v="0"/>
    <x v="2"/>
    <x v="1"/>
    <x v="0"/>
    <x v="0"/>
    <x v="0"/>
    <x v="1"/>
    <n v="300"/>
  </r>
  <r>
    <s v="G0900004"/>
    <x v="0"/>
    <s v="SPO09002"/>
    <x v="0"/>
    <x v="0"/>
    <s v="Pneumatic Impactors For Granulation Plant"/>
    <x v="4"/>
    <x v="0"/>
    <n v="55000"/>
    <n v="74005.77"/>
    <n v="0"/>
    <n v="0"/>
    <n v="74005.77"/>
    <s v="Alan"/>
    <s v="Milani"/>
    <s v="SPG01"/>
    <x v="3"/>
    <x v="1"/>
    <x v="1"/>
    <x v="1"/>
    <x v="0"/>
    <x v="0"/>
    <x v="2"/>
    <x v="1"/>
    <x v="0"/>
    <x v="0"/>
    <x v="0"/>
    <x v="1"/>
    <n v="0"/>
  </r>
  <r>
    <s v="G0900005"/>
    <x v="3"/>
    <s v="SMI09002"/>
    <x v="0"/>
    <x v="0"/>
    <s v="Centum Cs 3000 Computer Upgrade for Mt Isa"/>
    <x v="4"/>
    <x v="0"/>
    <n v="35000"/>
    <n v="21535.18"/>
    <n v="0"/>
    <n v="0"/>
    <n v="21535.18"/>
    <s v="Bill"/>
    <s v="Bishop"/>
    <s v="SMS01"/>
    <x v="6"/>
    <x v="3"/>
    <x v="1"/>
    <x v="1"/>
    <x v="0"/>
    <x v="0"/>
    <x v="2"/>
    <x v="1"/>
    <x v="0"/>
    <x v="0"/>
    <x v="0"/>
    <x v="1"/>
    <n v="-5973.26"/>
  </r>
  <r>
    <s v="G0900006"/>
    <x v="0"/>
    <s v="SPO09002"/>
    <x v="0"/>
    <x v="0"/>
    <s v="Monument Gymnasium Equipment Upgrade"/>
    <x v="4"/>
    <x v="0"/>
    <n v="31000"/>
    <n v="31000"/>
    <n v="0"/>
    <n v="0"/>
    <n v="31000"/>
    <s v="John"/>
    <s v="Gretton"/>
    <s v="SPZ02"/>
    <x v="3"/>
    <x v="1"/>
    <x v="1"/>
    <x v="1"/>
    <x v="0"/>
    <x v="0"/>
    <x v="2"/>
    <x v="1"/>
    <x v="0"/>
    <x v="0"/>
    <x v="0"/>
    <x v="1"/>
    <n v="0"/>
  </r>
  <r>
    <s v="G0900007"/>
    <x v="3"/>
    <s v="SMI09005"/>
    <x v="0"/>
    <x v="0"/>
    <s v="Acid Loading Arm"/>
    <x v="1"/>
    <x v="0"/>
    <n v="122000"/>
    <n v="121609"/>
    <n v="0"/>
    <n v="0"/>
    <n v="121609"/>
    <s v="Steve"/>
    <s v="Grant"/>
    <s v="SMS03"/>
    <x v="4"/>
    <x v="1"/>
    <x v="1"/>
    <x v="1"/>
    <x v="0"/>
    <x v="0"/>
    <x v="1"/>
    <x v="1"/>
    <x v="0"/>
    <x v="0"/>
    <x v="0"/>
    <x v="1"/>
    <n v="0"/>
  </r>
  <r>
    <s v="G0900009"/>
    <x v="5"/>
    <s v="SOH09001"/>
    <x v="0"/>
    <x v="0"/>
    <s v="Tsvl Office Integration"/>
    <x v="4"/>
    <x v="0"/>
    <n v="169000"/>
    <n v="285535.40999999997"/>
    <n v="2536.27"/>
    <n v="0"/>
    <n v="285535.40999999997"/>
    <s v="Damion"/>
    <s v="Hillhouse"/>
    <s v="STZ05"/>
    <x v="7"/>
    <x v="1"/>
    <x v="1"/>
    <x v="1"/>
    <x v="0"/>
    <x v="0"/>
    <x v="2"/>
    <x v="1"/>
    <x v="0"/>
    <x v="0"/>
    <x v="0"/>
    <x v="1"/>
    <n v="6924.7"/>
  </r>
  <r>
    <s v="G0900010"/>
    <x v="0"/>
    <s v="SPP09002"/>
    <x v="0"/>
    <x v="0"/>
    <s v="Hh Filter Belt A Change Out"/>
    <x v="4"/>
    <x v="0"/>
    <n v="372000"/>
    <n v="365465.33"/>
    <n v="0"/>
    <n v="0"/>
    <n v="365465.33"/>
    <s v="Gavin"/>
    <s v="Blaik"/>
    <s v="SPP01"/>
    <x v="3"/>
    <x v="1"/>
    <x v="1"/>
    <x v="1"/>
    <x v="0"/>
    <x v="0"/>
    <x v="2"/>
    <x v="1"/>
    <x v="0"/>
    <x v="0"/>
    <x v="0"/>
    <x v="1"/>
    <n v="0"/>
  </r>
  <r>
    <s v="G0900011"/>
    <x v="0"/>
    <s v="SPP09004"/>
    <x v="0"/>
    <x v="0"/>
    <s v="Hh Filter Belt C Change-out"/>
    <x v="4"/>
    <x v="0"/>
    <n v="750000"/>
    <n v="622335.16"/>
    <n v="0"/>
    <n v="0"/>
    <n v="622335.16"/>
    <s v="Gavin"/>
    <s v="Blaik"/>
    <s v="SPP01"/>
    <x v="3"/>
    <x v="1"/>
    <x v="1"/>
    <x v="1"/>
    <x v="0"/>
    <x v="0"/>
    <x v="2"/>
    <x v="1"/>
    <x v="0"/>
    <x v="0"/>
    <x v="0"/>
    <x v="1"/>
    <n v="125825.12"/>
  </r>
  <r>
    <s v="G0900012"/>
    <x v="0"/>
    <s v="SPP09008"/>
    <x v="0"/>
    <x v="1"/>
    <s v="Reactor 2 Vessel Baffle Upgr - Stage 2"/>
    <x v="4"/>
    <x v="0"/>
    <n v="400000"/>
    <n v="218703.75"/>
    <n v="6647.5"/>
    <n v="0"/>
    <n v="218703.75"/>
    <s v="Paul"/>
    <s v="Mcloughlin"/>
    <s v="SPP01"/>
    <x v="3"/>
    <x v="1"/>
    <x v="1"/>
    <x v="1"/>
    <x v="0"/>
    <x v="0"/>
    <x v="2"/>
    <x v="1"/>
    <x v="0"/>
    <x v="0"/>
    <x v="0"/>
    <x v="1"/>
    <n v="213085"/>
  </r>
  <r>
    <s v="G0900013"/>
    <x v="0"/>
    <s v="SPG09005"/>
    <x v="0"/>
    <x v="0"/>
    <s v="Spare - Rotary Dryer Girth Gear"/>
    <x v="6"/>
    <x v="0"/>
    <n v="473000"/>
    <n v="50012.69"/>
    <n v="503.82"/>
    <n v="0"/>
    <n v="50012.69"/>
    <s v="Daniel"/>
    <s v="Morton"/>
    <s v="SPG01"/>
    <x v="3"/>
    <x v="1"/>
    <x v="1"/>
    <x v="1"/>
    <x v="0"/>
    <x v="0"/>
    <x v="2"/>
    <x v="1"/>
    <x v="0"/>
    <x v="0"/>
    <x v="0"/>
    <x v="1"/>
    <n v="6836.04"/>
  </r>
  <r>
    <s v="G0900014"/>
    <x v="0"/>
    <s v="SPO09002"/>
    <x v="0"/>
    <x v="0"/>
    <s v="Trial Hydrogen Fluoride Detectors - Filter Floors"/>
    <x v="5"/>
    <x v="0"/>
    <n v="5000"/>
    <n v="3170.45"/>
    <n v="0"/>
    <n v="0"/>
    <n v="3170.45"/>
    <s v="Rehne"/>
    <s v="Anderson"/>
    <s v="SPP01"/>
    <x v="3"/>
    <x v="1"/>
    <x v="1"/>
    <x v="1"/>
    <x v="0"/>
    <x v="0"/>
    <x v="2"/>
    <x v="1"/>
    <x v="0"/>
    <x v="0"/>
    <x v="0"/>
    <x v="1"/>
    <n v="0"/>
  </r>
  <r>
    <s v="G0900015"/>
    <x v="3"/>
    <s v="SMI09017"/>
    <x v="0"/>
    <x v="0"/>
    <s v="Mt Isa - Oxidation Ups"/>
    <x v="4"/>
    <x v="0"/>
    <n v="80000"/>
    <n v="63986.9"/>
    <n v="0"/>
    <n v="0"/>
    <n v="63986.9"/>
    <s v="Hugh"/>
    <s v="Ly"/>
    <s v="SMS01"/>
    <x v="4"/>
    <x v="1"/>
    <x v="1"/>
    <x v="1"/>
    <x v="0"/>
    <x v="0"/>
    <x v="2"/>
    <x v="1"/>
    <x v="0"/>
    <x v="0"/>
    <x v="0"/>
    <x v="1"/>
    <n v="3580"/>
  </r>
  <r>
    <s v="G0900016"/>
    <x v="3"/>
    <s v="SMI09018"/>
    <x v="0"/>
    <x v="0"/>
    <s v="Replacement Of Expansion Joints On Clean Gas Duct"/>
    <x v="1"/>
    <x v="0"/>
    <n v="132202"/>
    <n v="98383.93"/>
    <n v="0"/>
    <n v="0"/>
    <n v="98383.93"/>
    <s v="Sak"/>
    <s v="Rupasinghe"/>
    <s v="SMS01"/>
    <x v="4"/>
    <x v="1"/>
    <x v="1"/>
    <x v="1"/>
    <x v="0"/>
    <x v="0"/>
    <x v="1"/>
    <x v="1"/>
    <x v="0"/>
    <x v="0"/>
    <x v="0"/>
    <x v="1"/>
    <n v="-2071.58"/>
  </r>
  <r>
    <s v="G0900017"/>
    <x v="3"/>
    <s v="SMI09019"/>
    <x v="0"/>
    <x v="0"/>
    <s v="Upgrade Of Rfs 4's Vsd"/>
    <x v="4"/>
    <x v="0"/>
    <n v="90000"/>
    <n v="90700.39"/>
    <n v="0"/>
    <n v="0"/>
    <n v="90700.39"/>
    <s v="Rick"/>
    <s v="Nicholls"/>
    <s v="SMS01"/>
    <x v="6"/>
    <x v="1"/>
    <x v="1"/>
    <x v="1"/>
    <x v="0"/>
    <x v="0"/>
    <x v="1"/>
    <x v="1"/>
    <x v="0"/>
    <x v="0"/>
    <x v="0"/>
    <x v="1"/>
    <n v="250"/>
  </r>
  <r>
    <s v="G0900019"/>
    <x v="3"/>
    <s v="SPO09002.60"/>
    <x v="0"/>
    <x v="0"/>
    <s v="External Feedback Encoders On The Sulphur Burner D"/>
    <x v="4"/>
    <x v="0"/>
    <n v="25000"/>
    <n v="23016.63"/>
    <n v="0"/>
    <n v="0"/>
    <n v="23016.63"/>
    <s v="Rehne"/>
    <s v="Anderson"/>
    <s v="SMS01"/>
    <x v="4"/>
    <x v="1"/>
    <x v="1"/>
    <x v="1"/>
    <x v="0"/>
    <x v="0"/>
    <x v="2"/>
    <x v="1"/>
    <x v="0"/>
    <x v="0"/>
    <x v="0"/>
    <x v="1"/>
    <n v="2983.76"/>
  </r>
  <r>
    <s v="G0900020"/>
    <x v="3"/>
    <s v="SPO09002.70"/>
    <x v="0"/>
    <x v="0"/>
    <s v="Emergency Exhaust Fan Inlet Damper Backup Air Accu"/>
    <x v="4"/>
    <x v="0"/>
    <n v="28000"/>
    <n v="28241.08"/>
    <n v="0"/>
    <n v="0"/>
    <n v="28241.08"/>
    <s v="Rehne"/>
    <s v="Anderson"/>
    <s v="SMS01"/>
    <x v="6"/>
    <x v="1"/>
    <x v="1"/>
    <x v="1"/>
    <x v="0"/>
    <x v="0"/>
    <x v="1"/>
    <x v="1"/>
    <x v="0"/>
    <x v="0"/>
    <x v="0"/>
    <x v="1"/>
    <n v="0"/>
  </r>
  <r>
    <s v="G0900021"/>
    <x v="0"/>
    <s v="SPA09021"/>
    <x v="0"/>
    <x v="0"/>
    <s v="Reformer Fuel Block Valve Repl"/>
    <x v="1"/>
    <x v="0"/>
    <n v="84000"/>
    <n v="36738"/>
    <n v="0"/>
    <n v="0"/>
    <n v="36738"/>
    <s v="Phil"/>
    <s v="Chapman"/>
    <s v="SPA01"/>
    <x v="3"/>
    <x v="1"/>
    <x v="1"/>
    <x v="1"/>
    <x v="0"/>
    <x v="0"/>
    <x v="2"/>
    <x v="1"/>
    <x v="0"/>
    <x v="0"/>
    <x v="0"/>
    <x v="1"/>
    <n v="36738"/>
  </r>
  <r>
    <s v="G0900022"/>
    <x v="0"/>
    <s v="SPO09009"/>
    <x v="0"/>
    <x v="0"/>
    <s v="Phos Hill &amp; Misa Ups Repl"/>
    <x v="1"/>
    <x v="0"/>
    <n v="60000"/>
    <n v="43858.86"/>
    <n v="0"/>
    <n v="0"/>
    <n v="43858.86"/>
    <s v="Hugh"/>
    <s v="Ly"/>
    <s v="SPZ15"/>
    <x v="3"/>
    <x v="1"/>
    <x v="1"/>
    <x v="1"/>
    <x v="0"/>
    <x v="0"/>
    <x v="2"/>
    <x v="1"/>
    <x v="0"/>
    <x v="0"/>
    <x v="0"/>
    <x v="1"/>
    <n v="12344.74"/>
  </r>
  <r>
    <s v="G0900023"/>
    <x v="0"/>
    <s v="SPO09012"/>
    <x v="0"/>
    <x v="0"/>
    <s v="Upgrade Existing Lv Air Circuit Breakers (acb's)"/>
    <x v="4"/>
    <x v="0"/>
    <n v="150000"/>
    <n v="90806.45"/>
    <n v="0"/>
    <n v="0"/>
    <n v="90806.45"/>
    <s v="Victor"/>
    <s v="Odman"/>
    <s v="SPZ08"/>
    <x v="3"/>
    <x v="1"/>
    <x v="1"/>
    <x v="1"/>
    <x v="0"/>
    <x v="0"/>
    <x v="2"/>
    <x v="1"/>
    <x v="0"/>
    <x v="0"/>
    <x v="0"/>
    <x v="1"/>
    <n v="90806.45"/>
  </r>
  <r>
    <s v="G0900024"/>
    <x v="0"/>
    <s v="SPO09011"/>
    <x v="0"/>
    <x v="0"/>
    <s v="Pdl Variable Speed Drive Replacement"/>
    <x v="4"/>
    <x v="0"/>
    <n v="150000"/>
    <n v="129459.85"/>
    <n v="12856.15"/>
    <n v="0"/>
    <n v="129459.85"/>
    <s v="Hugh"/>
    <s v="Ly"/>
    <s v="SPZ08"/>
    <x v="3"/>
    <x v="1"/>
    <x v="1"/>
    <x v="1"/>
    <x v="0"/>
    <x v="0"/>
    <x v="2"/>
    <x v="1"/>
    <x v="0"/>
    <x v="0"/>
    <x v="0"/>
    <x v="1"/>
    <n v="65901.75"/>
  </r>
  <r>
    <s v="G0900025"/>
    <x v="0"/>
    <s v="SPMS08002"/>
    <x v="0"/>
    <x v="0"/>
    <s v="Upgrade/relocate Borefield Pumps - Stage 1"/>
    <x v="4"/>
    <x v="0"/>
    <n v="1880000"/>
    <n v="1309901.29"/>
    <n v="685453.3"/>
    <n v="0"/>
    <n v="1309901.29"/>
    <s v="Luke"/>
    <s v="Poli"/>
    <s v="SPM03"/>
    <x v="3"/>
    <x v="1"/>
    <x v="1"/>
    <x v="1"/>
    <x v="0"/>
    <x v="0"/>
    <x v="2"/>
    <x v="1"/>
    <x v="0"/>
    <x v="0"/>
    <x v="0"/>
    <x v="1"/>
    <n v="1242364.8600000001"/>
  </r>
  <r>
    <s v="G0900026"/>
    <x v="3"/>
    <s v="SMI09015"/>
    <x v="0"/>
    <x v="0"/>
    <s v="Tg Set Control System Upgrade"/>
    <x v="4"/>
    <x v="0"/>
    <n v="325000"/>
    <n v="163460.66"/>
    <n v="-6660"/>
    <n v="0"/>
    <n v="163460.66"/>
    <s v="Andrew"/>
    <s v="Cantamessa"/>
    <s v="SMS01"/>
    <x v="6"/>
    <x v="1"/>
    <x v="1"/>
    <x v="1"/>
    <x v="0"/>
    <x v="0"/>
    <x v="2"/>
    <x v="1"/>
    <x v="0"/>
    <x v="0"/>
    <x v="0"/>
    <x v="1"/>
    <n v="105866.54"/>
  </r>
  <r>
    <s v="G0900027"/>
    <x v="0"/>
    <s v="SPM09001"/>
    <x v="0"/>
    <x v="0"/>
    <s v="Environmental Monitoring Aquifer Bore Repl"/>
    <x v="3"/>
    <x v="0"/>
    <n v="200000"/>
    <n v="216014.7"/>
    <n v="4150"/>
    <n v="0"/>
    <n v="216014.7"/>
    <s v="Scott"/>
    <s v="Whitehead"/>
    <s v="SPM01"/>
    <x v="3"/>
    <x v="1"/>
    <x v="1"/>
    <x v="0"/>
    <x v="0"/>
    <x v="2"/>
    <x v="2"/>
    <x v="1"/>
    <x v="0"/>
    <x v="0"/>
    <x v="0"/>
    <x v="1"/>
    <n v="210293.34"/>
  </r>
  <r>
    <s v="G0900028"/>
    <x v="0"/>
    <s v="SPP09011"/>
    <x v="0"/>
    <x v="5"/>
    <s v="Pap Process Optimisation"/>
    <x v="2"/>
    <x v="0"/>
    <n v="75000"/>
    <n v="36824.559999999998"/>
    <n v="8994"/>
    <n v="0"/>
    <n v="36824.559999999998"/>
    <s v="Lodewyk"/>
    <s v="Van Der Merwe"/>
    <s v="SPP01"/>
    <x v="3"/>
    <x v="1"/>
    <x v="1"/>
    <x v="1"/>
    <x v="0"/>
    <x v="0"/>
    <x v="2"/>
    <x v="1"/>
    <x v="0"/>
    <x v="1"/>
    <x v="0"/>
    <x v="1"/>
    <n v="36824.559999999998"/>
  </r>
  <r>
    <s v="G0900029"/>
    <x v="0"/>
    <s v="SPO09005"/>
    <x v="0"/>
    <x v="0"/>
    <s v="Storage Tank Anodic Protection Upgr Isa &amp; Phos Hil"/>
    <x v="3"/>
    <x v="0"/>
    <n v="211000"/>
    <n v="87558.35"/>
    <n v="17649.43"/>
    <n v="0"/>
    <n v="87558.35"/>
    <s v="Michael"/>
    <s v="Morley"/>
    <s v="SPE02"/>
    <x v="3"/>
    <x v="1"/>
    <x v="1"/>
    <x v="1"/>
    <x v="0"/>
    <x v="0"/>
    <x v="2"/>
    <x v="1"/>
    <x v="0"/>
    <x v="0"/>
    <x v="0"/>
    <x v="1"/>
    <n v="87558.35"/>
  </r>
  <r>
    <s v="G0900030"/>
    <x v="3"/>
    <s v="SMI09006"/>
    <x v="0"/>
    <x v="0"/>
    <s v="Id Fans Upgr Stage 1 &amp; 2"/>
    <x v="4"/>
    <x v="0"/>
    <n v="765000"/>
    <n v="94285"/>
    <n v="0"/>
    <n v="0"/>
    <n v="94285"/>
    <s v="Brett"/>
    <s v="Landells"/>
    <s v="SMS02"/>
    <x v="4"/>
    <x v="1"/>
    <x v="1"/>
    <x v="1"/>
    <x v="0"/>
    <x v="0"/>
    <x v="2"/>
    <x v="1"/>
    <x v="0"/>
    <x v="0"/>
    <x v="0"/>
    <x v="1"/>
    <n v="0"/>
  </r>
  <r>
    <s v="G0900031"/>
    <x v="0"/>
    <s v="SPP09012"/>
    <x v="0"/>
    <x v="0"/>
    <s v="Phos Acid Plant Cooling Tower Cells 1&amp;2 Upgr"/>
    <x v="4"/>
    <x v="0"/>
    <n v="877000"/>
    <n v="603982.43000000005"/>
    <n v="14345.46"/>
    <n v="0"/>
    <n v="603982.43000000005"/>
    <s v="Gavin"/>
    <s v="Blaik"/>
    <s v="SPP01"/>
    <x v="3"/>
    <x v="1"/>
    <x v="1"/>
    <x v="1"/>
    <x v="0"/>
    <x v="0"/>
    <x v="2"/>
    <x v="1"/>
    <x v="0"/>
    <x v="0"/>
    <x v="0"/>
    <x v="1"/>
    <n v="462192.4"/>
  </r>
  <r>
    <s v="G0900032"/>
    <x v="0"/>
    <s v="SPG09006"/>
    <x v="0"/>
    <x v="0"/>
    <s v="Construction Of Bunkers To Store Fertiliser"/>
    <x v="4"/>
    <x v="0"/>
    <n v="1721000"/>
    <n v="1893099.76"/>
    <n v="-17576"/>
    <n v="0"/>
    <n v="1893099.76"/>
    <s v="Glenn"/>
    <s v="Bradshaw"/>
    <s v="SPG02"/>
    <x v="3"/>
    <x v="1"/>
    <x v="1"/>
    <x v="2"/>
    <x v="0"/>
    <x v="3"/>
    <x v="1"/>
    <x v="1"/>
    <x v="0"/>
    <x v="0"/>
    <x v="0"/>
    <x v="1"/>
    <n v="-17576"/>
  </r>
  <r>
    <s v="G0900033"/>
    <x v="3"/>
    <s v="SMIS08020"/>
    <x v="0"/>
    <x v="1"/>
    <s v="Turbine Alternator Cooling Tower Replacement"/>
    <x v="4"/>
    <x v="0"/>
    <n v="3450000"/>
    <n v="1846600.05"/>
    <n v="823978.72"/>
    <n v="0"/>
    <n v="1846600.05"/>
    <s v="Patrick"/>
    <s v="Owens"/>
    <s v="SMS01"/>
    <x v="6"/>
    <x v="1"/>
    <x v="1"/>
    <x v="1"/>
    <x v="0"/>
    <x v="0"/>
    <x v="2"/>
    <x v="1"/>
    <x v="0"/>
    <x v="0"/>
    <x v="1"/>
    <x v="1"/>
    <n v="1673523.14"/>
  </r>
  <r>
    <s v="G0900033"/>
    <x v="3"/>
    <s v="SMIS08020"/>
    <x v="0"/>
    <x v="1"/>
    <s v="Turbine Alternator Cooling Tower Replacement - Rev"/>
    <x v="0"/>
    <x v="0"/>
    <n v="0"/>
    <n v="-1846600.05"/>
    <n v="-1846600.05"/>
    <n v="0"/>
    <n v="-1846600.05"/>
    <m/>
    <m/>
    <m/>
    <x v="0"/>
    <x v="0"/>
    <x v="0"/>
    <x v="0"/>
    <x v="0"/>
    <x v="0"/>
    <x v="0"/>
    <x v="1"/>
    <x v="0"/>
    <x v="0"/>
    <x v="1"/>
    <x v="0"/>
    <n v="-1846600.05"/>
  </r>
  <r>
    <s v="G0900034"/>
    <x v="0"/>
    <s v="SPB09003"/>
    <x v="0"/>
    <x v="0"/>
    <s v="Ball Mill Motor Upgrade"/>
    <x v="4"/>
    <x v="0"/>
    <n v="66000"/>
    <n v="65876.27"/>
    <n v="0"/>
    <n v="0"/>
    <n v="65876.27"/>
    <s v="Tony"/>
    <s v="Puglisi"/>
    <s v="SPB01"/>
    <x v="3"/>
    <x v="1"/>
    <x v="1"/>
    <x v="1"/>
    <x v="0"/>
    <x v="0"/>
    <x v="2"/>
    <x v="1"/>
    <x v="0"/>
    <x v="0"/>
    <x v="0"/>
    <x v="1"/>
    <n v="65876.27"/>
  </r>
  <r>
    <s v="G0900035"/>
    <x v="0"/>
    <s v="SPM09003"/>
    <x v="0"/>
    <x v="0"/>
    <s v="Excavation Of Slimes Dam 3b"/>
    <x v="4"/>
    <x v="0"/>
    <n v="1500000"/>
    <n v="1469269.15"/>
    <n v="621419.86"/>
    <n v="0"/>
    <n v="1469269.15"/>
    <s v="Steve"/>
    <s v="Davis"/>
    <s v="SPM01"/>
    <x v="3"/>
    <x v="1"/>
    <x v="1"/>
    <x v="0"/>
    <x v="0"/>
    <x v="2"/>
    <x v="2"/>
    <x v="1"/>
    <x v="0"/>
    <x v="0"/>
    <x v="0"/>
    <x v="1"/>
    <n v="1452485.31"/>
  </r>
  <r>
    <s v="G0900036"/>
    <x v="3"/>
    <s v="SCF07504"/>
    <x v="0"/>
    <x v="0"/>
    <s v="Spare - So2 Blower Motor Stage 2"/>
    <x v="4"/>
    <x v="0"/>
    <n v="382000"/>
    <n v="86969.77"/>
    <n v="29840.74"/>
    <n v="0"/>
    <n v="86969.77"/>
    <s v="Andrew"/>
    <s v="Cantamessa"/>
    <s v="SMS01"/>
    <x v="4"/>
    <x v="1"/>
    <x v="1"/>
    <x v="1"/>
    <x v="0"/>
    <x v="0"/>
    <x v="2"/>
    <x v="1"/>
    <x v="0"/>
    <x v="0"/>
    <x v="0"/>
    <x v="1"/>
    <n v="86369.77"/>
  </r>
  <r>
    <s v="P0600045"/>
    <x v="1"/>
    <s v="ICAPGU06017"/>
    <x v="1"/>
    <x v="0"/>
    <s v="GIW remaining hazardous area work"/>
    <x v="3"/>
    <x v="0"/>
    <n v="452000"/>
    <n v="302.5"/>
    <n v="0"/>
    <n v="455007.38"/>
    <n v="455309.88"/>
    <s v="Peter"/>
    <s v="Key"/>
    <s v="GOU01"/>
    <x v="8"/>
    <x v="1"/>
    <x v="1"/>
    <x v="1"/>
    <x v="0"/>
    <x v="0"/>
    <x v="1"/>
    <x v="0"/>
    <x v="0"/>
    <x v="0"/>
    <x v="0"/>
    <x v="0"/>
    <n v="0"/>
  </r>
  <r>
    <s v="P0600049"/>
    <x v="2"/>
    <s v="ICAPAD06002"/>
    <x v="2"/>
    <x v="0"/>
    <s v="Man Down/Security-Big N Distribution"/>
    <x v="3"/>
    <x v="0"/>
    <n v="68276"/>
    <n v="-10085.219999999999"/>
    <n v="0"/>
    <n v="34195.72"/>
    <n v="24110.5"/>
    <s v="Andrew"/>
    <s v="Robertson"/>
    <s v="FRW03"/>
    <x v="9"/>
    <x v="1"/>
    <x v="1"/>
    <x v="1"/>
    <x v="0"/>
    <x v="0"/>
    <x v="2"/>
    <x v="0"/>
    <x v="0"/>
    <x v="0"/>
    <x v="0"/>
    <x v="0"/>
    <n v="0"/>
  </r>
  <r>
    <s v="P0600073"/>
    <x v="2"/>
    <s v="ICAPGE06042"/>
    <x v="4"/>
    <x v="0"/>
    <s v="Granulation Drum Guarding Upgrade"/>
    <x v="3"/>
    <x v="0"/>
    <n v="140630"/>
    <n v="-115.15"/>
    <n v="0"/>
    <n v="136560.1"/>
    <n v="136444.95000000001"/>
    <s v="Stephen"/>
    <s v="Mcdonald"/>
    <s v="GES01"/>
    <x v="10"/>
    <x v="4"/>
    <x v="1"/>
    <x v="1"/>
    <x v="0"/>
    <x v="0"/>
    <x v="1"/>
    <x v="0"/>
    <x v="0"/>
    <x v="0"/>
    <x v="0"/>
    <x v="0"/>
    <n v="0"/>
  </r>
  <r>
    <s v="P0700147"/>
    <x v="2"/>
    <s v="ICAPGE07003"/>
    <x v="4"/>
    <x v="0"/>
    <s v="# 4 Product Shuttle Conveyor Guarding Upgrade"/>
    <x v="3"/>
    <x v="0"/>
    <n v="304230"/>
    <n v="6284.16"/>
    <n v="0"/>
    <n v="292006.82"/>
    <n v="298290.98"/>
    <s v="Stephen"/>
    <s v="Mcdonald"/>
    <s v="GES01"/>
    <x v="10"/>
    <x v="4"/>
    <x v="1"/>
    <x v="1"/>
    <x v="0"/>
    <x v="0"/>
    <x v="1"/>
    <x v="0"/>
    <x v="0"/>
    <x v="0"/>
    <x v="0"/>
    <x v="0"/>
    <n v="5884.16"/>
  </r>
  <r>
    <s v="P0700166"/>
    <x v="2"/>
    <s v="ICAPGE07007"/>
    <x v="4"/>
    <x v="0"/>
    <s v="Bradley Mills 1 &amp; 2 Oiler Access"/>
    <x v="3"/>
    <x v="0"/>
    <n v="22565"/>
    <n v="3151.04"/>
    <n v="0"/>
    <n v="18603"/>
    <n v="21754.04"/>
    <s v="Richard"/>
    <s v="Jacobson"/>
    <s v="GES 0"/>
    <x v="10"/>
    <x v="4"/>
    <x v="1"/>
    <x v="1"/>
    <x v="0"/>
    <x v="0"/>
    <x v="1"/>
    <x v="0"/>
    <x v="0"/>
    <x v="0"/>
    <x v="0"/>
    <x v="0"/>
    <n v="0"/>
  </r>
  <r>
    <s v="P0700206"/>
    <x v="1"/>
    <s v="ICAPGO07004"/>
    <x v="1"/>
    <x v="0"/>
    <s v="Water Recycle Project"/>
    <x v="3"/>
    <x v="0"/>
    <n v="3920928"/>
    <n v="12540.72"/>
    <n v="0"/>
    <n v="3693062.18"/>
    <n v="3705602.9"/>
    <s v="Leyla"/>
    <s v="Aranda"/>
    <s v="GW001"/>
    <x v="8"/>
    <x v="1"/>
    <x v="1"/>
    <x v="1"/>
    <x v="0"/>
    <x v="0"/>
    <x v="1"/>
    <x v="0"/>
    <x v="0"/>
    <x v="0"/>
    <x v="1"/>
    <x v="0"/>
    <n v="0"/>
  </r>
  <r>
    <s v="P0700232"/>
    <x v="1"/>
    <s v="ICAPGG07001"/>
    <x v="1"/>
    <x v="0"/>
    <s v="GGP Workshop Replacement"/>
    <x v="3"/>
    <x v="0"/>
    <n v="125000"/>
    <n v="4831.8500000000004"/>
    <n v="0"/>
    <n v="21771.119999999999"/>
    <n v="26602.97"/>
    <s v="Grant"/>
    <s v="Lawler"/>
    <s v="GOG06"/>
    <x v="8"/>
    <x v="1"/>
    <x v="1"/>
    <x v="0"/>
    <x v="2"/>
    <x v="0"/>
    <x v="2"/>
    <x v="0"/>
    <x v="0"/>
    <x v="0"/>
    <x v="0"/>
    <x v="0"/>
    <n v="0"/>
  </r>
  <r>
    <s v="P0700242"/>
    <x v="5"/>
    <s v="ICAPFI07012"/>
    <x v="5"/>
    <x v="6"/>
    <s v="Project Orange - IBM Portal Implementation"/>
    <x v="7"/>
    <x v="0"/>
    <n v="800000"/>
    <n v="287241.73"/>
    <n v="0"/>
    <n v="861562.25"/>
    <n v="1148803.98"/>
    <s v="Boon"/>
    <s v="Beh"/>
    <s v="ZI003"/>
    <x v="11"/>
    <x v="4"/>
    <x v="1"/>
    <x v="1"/>
    <x v="0"/>
    <x v="0"/>
    <x v="1"/>
    <x v="0"/>
    <x v="0"/>
    <x v="0"/>
    <x v="0"/>
    <x v="0"/>
    <n v="0"/>
  </r>
  <r>
    <s v="P0700255"/>
    <x v="2"/>
    <s v="ICAPSC07001"/>
    <x v="6"/>
    <x v="0"/>
    <s v="Supply Chain Planner (SCP) Upgrade"/>
    <x v="4"/>
    <x v="0"/>
    <n v="1472298"/>
    <n v="-708.86"/>
    <n v="0"/>
    <n v="1285003.3799999999"/>
    <n v="1284294.52"/>
    <s v="Glen"/>
    <s v="Thomas"/>
    <s v="FL005"/>
    <x v="1"/>
    <x v="1"/>
    <x v="1"/>
    <x v="1"/>
    <x v="0"/>
    <x v="0"/>
    <x v="1"/>
    <x v="0"/>
    <x v="0"/>
    <x v="0"/>
    <x v="0"/>
    <x v="0"/>
    <n v="0"/>
  </r>
  <r>
    <s v="P0700266"/>
    <x v="1"/>
    <s v="ICAPGO07006"/>
    <x v="1"/>
    <x v="0"/>
    <s v="Granulation Plant R203 Rotary Dryer Replacement"/>
    <x v="1"/>
    <x v="0"/>
    <n v="2042682"/>
    <n v="26961.56"/>
    <n v="0"/>
    <n v="2187489.35"/>
    <n v="2214450.91"/>
    <s v="Leyla"/>
    <s v="Aranda"/>
    <s v="GW001"/>
    <x v="8"/>
    <x v="1"/>
    <x v="1"/>
    <x v="1"/>
    <x v="0"/>
    <x v="0"/>
    <x v="1"/>
    <x v="0"/>
    <x v="0"/>
    <x v="0"/>
    <x v="1"/>
    <x v="0"/>
    <n v="0"/>
  </r>
  <r>
    <s v="P0700272"/>
    <x v="6"/>
    <s v="ICAPKI07013"/>
    <x v="2"/>
    <x v="0"/>
    <s v="KI Liquid Additions"/>
    <x v="5"/>
    <x v="0"/>
    <n v="91320"/>
    <n v="1150"/>
    <n v="0"/>
    <n v="97699.75"/>
    <n v="98849.75"/>
    <s v="Lee"/>
    <s v="Appleby"/>
    <s v="NFD04"/>
    <x v="12"/>
    <x v="2"/>
    <x v="1"/>
    <x v="1"/>
    <x v="0"/>
    <x v="0"/>
    <x v="1"/>
    <x v="0"/>
    <x v="0"/>
    <x v="0"/>
    <x v="0"/>
    <x v="0"/>
    <n v="0"/>
  </r>
  <r>
    <s v="P0700279"/>
    <x v="2"/>
    <s v="ICAPNO07013"/>
    <x v="3"/>
    <x v="0"/>
    <s v="Townsville Bagging Station Platform Remediation"/>
    <x v="3"/>
    <x v="0"/>
    <n v="30000"/>
    <n v="2753.76"/>
    <n v="0"/>
    <n v="30534.17"/>
    <n v="33287.93"/>
    <s v="David"/>
    <s v="Hedditch"/>
    <s v="FWT02"/>
    <x v="13"/>
    <x v="1"/>
    <x v="1"/>
    <x v="1"/>
    <x v="0"/>
    <x v="0"/>
    <x v="1"/>
    <x v="0"/>
    <x v="0"/>
    <x v="0"/>
    <x v="0"/>
    <x v="0"/>
    <n v="0"/>
  </r>
  <r>
    <s v="P0700296"/>
    <x v="2"/>
    <s v="ICAPGE07025"/>
    <x v="4"/>
    <x v="0"/>
    <s v="Drier Burner Control Upgrade"/>
    <x v="1"/>
    <x v="0"/>
    <n v="86795"/>
    <n v="-9754.64"/>
    <n v="0"/>
    <n v="98317.9"/>
    <n v="88563.26"/>
    <s v="Jeff"/>
    <s v="Hunter"/>
    <s v="GES01"/>
    <x v="10"/>
    <x v="4"/>
    <x v="1"/>
    <x v="1"/>
    <x v="0"/>
    <x v="0"/>
    <x v="1"/>
    <x v="0"/>
    <x v="0"/>
    <x v="0"/>
    <x v="0"/>
    <x v="0"/>
    <n v="0"/>
  </r>
  <r>
    <s v="P0700305"/>
    <x v="2"/>
    <s v="ICAPGE07028"/>
    <x v="4"/>
    <x v="0"/>
    <s v="Acid pipeline monitoring"/>
    <x v="3"/>
    <x v="0"/>
    <n v="48800"/>
    <n v="584"/>
    <n v="0"/>
    <n v="49029.77"/>
    <n v="49613.77"/>
    <s v="Peter"/>
    <s v="Llewellyn"/>
    <s v="GE001"/>
    <x v="10"/>
    <x v="4"/>
    <x v="1"/>
    <x v="1"/>
    <x v="0"/>
    <x v="0"/>
    <x v="1"/>
    <x v="0"/>
    <x v="0"/>
    <x v="0"/>
    <x v="0"/>
    <x v="0"/>
    <n v="0"/>
  </r>
  <r>
    <s v="P0700308"/>
    <x v="2"/>
    <s v="ICAPGE07029"/>
    <x v="4"/>
    <x v="0"/>
    <s v="Acid farm safety monitoring"/>
    <x v="3"/>
    <x v="0"/>
    <n v="137341"/>
    <n v="12904.78"/>
    <n v="0"/>
    <n v="124389.2"/>
    <n v="137293.98000000001"/>
    <s v="Peter"/>
    <s v="Llewellyn"/>
    <s v="GE001"/>
    <x v="10"/>
    <x v="4"/>
    <x v="1"/>
    <x v="1"/>
    <x v="0"/>
    <x v="0"/>
    <x v="2"/>
    <x v="0"/>
    <x v="0"/>
    <x v="0"/>
    <x v="0"/>
    <x v="0"/>
    <n v="0"/>
  </r>
  <r>
    <s v="P0700318"/>
    <x v="2"/>
    <s v="ICAPSO07003"/>
    <x v="7"/>
    <x v="0"/>
    <s v="Pt Lincoln Consolidation - Stage 1"/>
    <x v="4"/>
    <x v="0"/>
    <n v="180900"/>
    <n v="-0.24"/>
    <n v="0"/>
    <n v="0.24"/>
    <n v="0"/>
    <s v="David"/>
    <s v="Hedditch"/>
    <s v="FWE04"/>
    <x v="14"/>
    <x v="3"/>
    <x v="1"/>
    <x v="1"/>
    <x v="0"/>
    <x v="0"/>
    <x v="1"/>
    <x v="0"/>
    <x v="0"/>
    <x v="0"/>
    <x v="0"/>
    <x v="0"/>
    <n v="0"/>
  </r>
  <r>
    <s v="P0800327"/>
    <x v="1"/>
    <s v="IGA08002"/>
    <x v="1"/>
    <x v="0"/>
    <s v="Upgrade E667 Oil Cooler"/>
    <x v="1"/>
    <x v="0"/>
    <n v="25795"/>
    <n v="10225.49"/>
    <n v="1299.95"/>
    <n v="10949.66"/>
    <n v="21175.15"/>
    <s v="Jordan"/>
    <s v="Blackmur"/>
    <s v="GOA01"/>
    <x v="8"/>
    <x v="1"/>
    <x v="1"/>
    <x v="1"/>
    <x v="0"/>
    <x v="0"/>
    <x v="2"/>
    <x v="0"/>
    <x v="0"/>
    <x v="0"/>
    <x v="0"/>
    <x v="0"/>
    <n v="1734.03"/>
  </r>
  <r>
    <s v="P0800333"/>
    <x v="2"/>
    <s v="INO08002"/>
    <x v="3"/>
    <x v="0"/>
    <s v="I.B.C. Mesh Conveyor - Mackay"/>
    <x v="7"/>
    <x v="0"/>
    <n v="65000"/>
    <n v="3675"/>
    <n v="0"/>
    <n v="61325.47"/>
    <n v="65000.47"/>
    <s v="Chris"/>
    <s v="Lamb"/>
    <s v="FWM11"/>
    <x v="13"/>
    <x v="1"/>
    <x v="1"/>
    <x v="1"/>
    <x v="0"/>
    <x v="0"/>
    <x v="1"/>
    <x v="0"/>
    <x v="0"/>
    <x v="0"/>
    <x v="0"/>
    <x v="0"/>
    <n v="0"/>
  </r>
  <r>
    <s v="P0800334"/>
    <x v="6"/>
    <s v="IKI08001"/>
    <x v="2"/>
    <x v="0"/>
    <s v="KI Fire Safety Audit Actions"/>
    <x v="3"/>
    <x v="0"/>
    <n v="80950"/>
    <n v="6559"/>
    <n v="0"/>
    <n v="74584"/>
    <n v="81143"/>
    <s v="Lee"/>
    <s v="Appleby"/>
    <s v="NFD10"/>
    <x v="12"/>
    <x v="2"/>
    <x v="1"/>
    <x v="1"/>
    <x v="0"/>
    <x v="0"/>
    <x v="1"/>
    <x v="0"/>
    <x v="0"/>
    <x v="0"/>
    <x v="0"/>
    <x v="0"/>
    <n v="0"/>
  </r>
  <r>
    <s v="P0800335"/>
    <x v="2"/>
    <s v="IGP08001"/>
    <x v="4"/>
    <x v="0"/>
    <s v="Upgrade Wharf ShipLoader"/>
    <x v="2"/>
    <x v="0"/>
    <n v="61000"/>
    <n v="-58925"/>
    <n v="0"/>
    <n v="58925"/>
    <n v="0"/>
    <s v="Dennis"/>
    <s v="Grant"/>
    <s v="FWG04"/>
    <x v="15"/>
    <x v="4"/>
    <x v="1"/>
    <x v="1"/>
    <x v="0"/>
    <x v="0"/>
    <x v="2"/>
    <x v="0"/>
    <x v="0"/>
    <x v="1"/>
    <x v="0"/>
    <x v="0"/>
    <n v="-58925"/>
  </r>
  <r>
    <s v="P0800336"/>
    <x v="6"/>
    <s v="IKI08002"/>
    <x v="2"/>
    <x v="0"/>
    <s v="KI Acid loading vapour return"/>
    <x v="3"/>
    <x v="0"/>
    <n v="49000"/>
    <n v="1890"/>
    <n v="0"/>
    <n v="48413.5"/>
    <n v="50303.5"/>
    <s v="Lee"/>
    <s v="Appleby"/>
    <s v="NFD04"/>
    <x v="12"/>
    <x v="2"/>
    <x v="1"/>
    <x v="1"/>
    <x v="0"/>
    <x v="0"/>
    <x v="1"/>
    <x v="0"/>
    <x v="0"/>
    <x v="0"/>
    <x v="0"/>
    <x v="0"/>
    <n v="0"/>
  </r>
  <r>
    <s v="P0800343"/>
    <x v="2"/>
    <s v="ISO08001"/>
    <x v="7"/>
    <x v="5"/>
    <s v="Pt Lincoln Consolidation - Stage 2"/>
    <x v="4"/>
    <x v="0"/>
    <n v="2264475"/>
    <n v="176266.41"/>
    <n v="0"/>
    <n v="2363050"/>
    <n v="2539316.41"/>
    <s v="David"/>
    <s v="Hedditch"/>
    <s v="FWE04"/>
    <x v="14"/>
    <x v="3"/>
    <x v="1"/>
    <x v="3"/>
    <x v="3"/>
    <x v="0"/>
    <x v="2"/>
    <x v="0"/>
    <x v="0"/>
    <x v="0"/>
    <x v="1"/>
    <x v="0"/>
    <n v="10881.05"/>
  </r>
  <r>
    <s v="P0800346"/>
    <x v="1"/>
    <s v="IGI08003"/>
    <x v="1"/>
    <x v="0"/>
    <s v="Stage 3 GI PDC Wharf Upgrade"/>
    <x v="4"/>
    <x v="0"/>
    <n v="183634"/>
    <n v="31415.25"/>
    <n v="0"/>
    <n v="161318.82999999999"/>
    <n v="192734.07999999999"/>
    <s v="Bruce"/>
    <s v="King"/>
    <s v="GD010"/>
    <x v="8"/>
    <x v="1"/>
    <x v="1"/>
    <x v="0"/>
    <x v="2"/>
    <x v="0"/>
    <x v="1"/>
    <x v="0"/>
    <x v="0"/>
    <x v="0"/>
    <x v="0"/>
    <x v="0"/>
    <n v="0"/>
  </r>
  <r>
    <s v="P0800347"/>
    <x v="1"/>
    <s v="IGA08003"/>
    <x v="1"/>
    <x v="0"/>
    <s v="Supplementary CEP to ICAPGA05012"/>
    <x v="5"/>
    <x v="0"/>
    <n v="90175"/>
    <n v="11226.92"/>
    <n v="0"/>
    <n v="77257.19"/>
    <n v="88484.11"/>
    <s v="Kevin"/>
    <s v="Martin"/>
    <s v="GOA01"/>
    <x v="8"/>
    <x v="1"/>
    <x v="1"/>
    <x v="1"/>
    <x v="0"/>
    <x v="0"/>
    <x v="1"/>
    <x v="0"/>
    <x v="0"/>
    <x v="0"/>
    <x v="0"/>
    <x v="0"/>
    <n v="0"/>
  </r>
  <r>
    <s v="P0800348"/>
    <x v="6"/>
    <s v="IKI08003"/>
    <x v="2"/>
    <x v="0"/>
    <s v="KI Bagging Plant Dehumidifier"/>
    <x v="7"/>
    <x v="0"/>
    <n v="123058"/>
    <n v="715"/>
    <n v="0"/>
    <n v="108325.17"/>
    <n v="109040.17"/>
    <s v="Shree"/>
    <s v="Pawar"/>
    <s v="NFD10"/>
    <x v="12"/>
    <x v="2"/>
    <x v="1"/>
    <x v="1"/>
    <x v="0"/>
    <x v="0"/>
    <x v="1"/>
    <x v="0"/>
    <x v="0"/>
    <x v="0"/>
    <x v="0"/>
    <x v="0"/>
    <n v="0"/>
  </r>
  <r>
    <s v="P0800351"/>
    <x v="2"/>
    <s v="IGE08002"/>
    <x v="4"/>
    <x v="0"/>
    <s v="#2 Void Tower Conical Sump"/>
    <x v="3"/>
    <x v="0"/>
    <n v="357480"/>
    <n v="-7475"/>
    <n v="0"/>
    <n v="373374.41"/>
    <n v="365899.41"/>
    <s v="Roger"/>
    <s v="Sowerby"/>
    <s v="GES01"/>
    <x v="10"/>
    <x v="4"/>
    <x v="1"/>
    <x v="1"/>
    <x v="0"/>
    <x v="0"/>
    <x v="2"/>
    <x v="0"/>
    <x v="0"/>
    <x v="0"/>
    <x v="0"/>
    <x v="0"/>
    <n v="0"/>
  </r>
  <r>
    <s v="P0800352"/>
    <x v="2"/>
    <s v="IGE08003"/>
    <x v="4"/>
    <x v="0"/>
    <s v="Product conveyor Guarding"/>
    <x v="3"/>
    <x v="0"/>
    <n v="189380"/>
    <n v="42681.08"/>
    <n v="0"/>
    <n v="163967.18"/>
    <n v="206648.26"/>
    <s v="Roger"/>
    <s v="Sowerby"/>
    <s v="GES01"/>
    <x v="10"/>
    <x v="4"/>
    <x v="1"/>
    <x v="1"/>
    <x v="0"/>
    <x v="0"/>
    <x v="1"/>
    <x v="0"/>
    <x v="0"/>
    <x v="0"/>
    <x v="0"/>
    <x v="0"/>
    <n v="0"/>
  </r>
  <r>
    <s v="P0800354"/>
    <x v="5"/>
    <s v="IFI08002"/>
    <x v="5"/>
    <x v="6"/>
    <s v="Local Area Network Hardware Refresh"/>
    <x v="3"/>
    <x v="0"/>
    <n v="103000"/>
    <n v="12018.95"/>
    <n v="0"/>
    <n v="98787.48"/>
    <n v="110806.43"/>
    <s v="Boon"/>
    <s v="Beh"/>
    <s v="ZI001"/>
    <x v="11"/>
    <x v="4"/>
    <x v="1"/>
    <x v="1"/>
    <x v="0"/>
    <x v="0"/>
    <x v="1"/>
    <x v="0"/>
    <x v="0"/>
    <x v="0"/>
    <x v="0"/>
    <x v="0"/>
    <n v="-15"/>
  </r>
  <r>
    <s v="P0800355"/>
    <x v="7"/>
    <s v="IPI08001"/>
    <x v="1"/>
    <x v="0"/>
    <s v="Warehouse 6 distribution board replacement"/>
    <x v="3"/>
    <x v="0"/>
    <n v="8305"/>
    <n v="3974.16"/>
    <n v="0"/>
    <n v="3976.13"/>
    <n v="7950.29"/>
    <s v="Peter"/>
    <s v="Key"/>
    <s v="PW004"/>
    <x v="16"/>
    <x v="1"/>
    <x v="1"/>
    <x v="1"/>
    <x v="0"/>
    <x v="0"/>
    <x v="2"/>
    <x v="0"/>
    <x v="0"/>
    <x v="0"/>
    <x v="0"/>
    <x v="0"/>
    <n v="0"/>
  </r>
  <r>
    <s v="P0800358"/>
    <x v="2"/>
    <s v="ISO08004"/>
    <x v="7"/>
    <x v="0"/>
    <s v="Safety upgrade acid despatch plant (98%)"/>
    <x v="3"/>
    <x v="0"/>
    <n v="175000"/>
    <n v="98630.59"/>
    <n v="0"/>
    <n v="55327.41"/>
    <n v="153958"/>
    <s v="Ian"/>
    <s v="Bishop"/>
    <s v="FWX17"/>
    <x v="14"/>
    <x v="3"/>
    <x v="1"/>
    <x v="1"/>
    <x v="0"/>
    <x v="0"/>
    <x v="2"/>
    <x v="0"/>
    <x v="0"/>
    <x v="0"/>
    <x v="0"/>
    <x v="0"/>
    <n v="-13255.55"/>
  </r>
  <r>
    <s v="P0800364"/>
    <x v="8"/>
    <s v="INSS08001"/>
    <x v="2"/>
    <x v="0"/>
    <s v="CC Tank 8&amp;9 Filter"/>
    <x v="3"/>
    <x v="0"/>
    <n v="9000"/>
    <n v="-8303.32"/>
    <n v="0"/>
    <n v="8303.32"/>
    <n v="0"/>
    <s v="Matthew"/>
    <s v="Brown"/>
    <s v="CMS08"/>
    <x v="17"/>
    <x v="2"/>
    <x v="1"/>
    <x v="1"/>
    <x v="0"/>
    <x v="0"/>
    <x v="1"/>
    <x v="0"/>
    <x v="0"/>
    <x v="0"/>
    <x v="0"/>
    <x v="0"/>
    <n v="-8303.32"/>
  </r>
  <r>
    <s v="P0800369"/>
    <x v="7"/>
    <s v="IPI08004"/>
    <x v="1"/>
    <x v="0"/>
    <s v="Warehouse1 distribution board replacement"/>
    <x v="3"/>
    <x v="0"/>
    <n v="7755"/>
    <n v="3944.38"/>
    <n v="0"/>
    <n v="3717.48"/>
    <n v="7661.86"/>
    <s v="Peter"/>
    <s v="Key"/>
    <s v="PW004"/>
    <x v="16"/>
    <x v="1"/>
    <x v="1"/>
    <x v="1"/>
    <x v="0"/>
    <x v="0"/>
    <x v="2"/>
    <x v="0"/>
    <x v="0"/>
    <x v="0"/>
    <x v="0"/>
    <x v="0"/>
    <n v="0"/>
  </r>
  <r>
    <s v="P0800370"/>
    <x v="7"/>
    <s v="IPI08006"/>
    <x v="1"/>
    <x v="0"/>
    <s v="Rockmill distribution board replacement"/>
    <x v="3"/>
    <x v="0"/>
    <n v="7425"/>
    <n v="3958.26"/>
    <n v="0"/>
    <n v="2140.23"/>
    <n v="6098.49"/>
    <s v="Peter"/>
    <s v="Key"/>
    <s v="PW004"/>
    <x v="16"/>
    <x v="1"/>
    <x v="1"/>
    <x v="1"/>
    <x v="0"/>
    <x v="0"/>
    <x v="1"/>
    <x v="0"/>
    <x v="0"/>
    <x v="0"/>
    <x v="0"/>
    <x v="0"/>
    <n v="0"/>
  </r>
  <r>
    <s v="P0800371"/>
    <x v="7"/>
    <s v="IPI08008"/>
    <x v="1"/>
    <x v="0"/>
    <s v="Service centre distributionboard replacement"/>
    <x v="3"/>
    <x v="0"/>
    <n v="7425"/>
    <n v="6276.85"/>
    <n v="0"/>
    <n v="1846.23"/>
    <n v="8123.08"/>
    <s v="Peter"/>
    <s v="Key"/>
    <s v="PW004"/>
    <x v="16"/>
    <x v="1"/>
    <x v="1"/>
    <x v="1"/>
    <x v="0"/>
    <x v="0"/>
    <x v="1"/>
    <x v="0"/>
    <x v="0"/>
    <x v="0"/>
    <x v="0"/>
    <x v="0"/>
    <n v="0"/>
  </r>
  <r>
    <s v="P0800372"/>
    <x v="7"/>
    <s v="IPI08009"/>
    <x v="1"/>
    <x v="0"/>
    <s v="Wharf area distribution boards replacement"/>
    <x v="3"/>
    <x v="0"/>
    <n v="9405"/>
    <n v="10236.06"/>
    <n v="-1457.85"/>
    <n v="46.28"/>
    <n v="10282.34"/>
    <s v="Peter"/>
    <s v="Key"/>
    <s v="PW004"/>
    <x v="16"/>
    <x v="1"/>
    <x v="1"/>
    <x v="1"/>
    <x v="0"/>
    <x v="0"/>
    <x v="1"/>
    <x v="0"/>
    <x v="0"/>
    <x v="0"/>
    <x v="0"/>
    <x v="0"/>
    <n v="3370.94"/>
  </r>
  <r>
    <s v="P0800373"/>
    <x v="7"/>
    <s v="IPI08007"/>
    <x v="1"/>
    <x v="0"/>
    <s v="Amenities distribution board replacement"/>
    <x v="3"/>
    <x v="0"/>
    <n v="7755"/>
    <n v="6490.73"/>
    <n v="1457.85"/>
    <n v="1968.43"/>
    <n v="8459.16"/>
    <s v="Peter"/>
    <s v="Key"/>
    <s v="PW004"/>
    <x v="16"/>
    <x v="1"/>
    <x v="1"/>
    <x v="1"/>
    <x v="0"/>
    <x v="0"/>
    <x v="1"/>
    <x v="0"/>
    <x v="0"/>
    <x v="0"/>
    <x v="0"/>
    <x v="0"/>
    <n v="3388.21"/>
  </r>
  <r>
    <s v="P0800389"/>
    <x v="2"/>
    <s v="IMO08001"/>
    <x v="8"/>
    <x v="7"/>
    <s v="HSEC Support System"/>
    <x v="3"/>
    <x v="0"/>
    <n v="700000"/>
    <n v="126915.53"/>
    <n v="0"/>
    <n v="606415.93000000005"/>
    <n v="733331.46"/>
    <s v="Steve"/>
    <s v="Hessel"/>
    <s v="ZM301"/>
    <x v="18"/>
    <x v="4"/>
    <x v="1"/>
    <x v="1"/>
    <x v="0"/>
    <x v="0"/>
    <x v="1"/>
    <x v="0"/>
    <x v="0"/>
    <x v="0"/>
    <x v="0"/>
    <x v="0"/>
    <n v="0"/>
  </r>
  <r>
    <s v="P0800391"/>
    <x v="2"/>
    <s v="IWL08002"/>
    <x v="4"/>
    <x v="0"/>
    <s v="Gas Reticulation &amp; Exhaust Ventilation"/>
    <x v="1"/>
    <x v="0"/>
    <n v="30000"/>
    <n v="12659"/>
    <n v="0"/>
    <n v="1420"/>
    <n v="14079"/>
    <s v="Troy"/>
    <s v="Abbey"/>
    <s v="FMS01"/>
    <x v="19"/>
    <x v="4"/>
    <x v="1"/>
    <x v="1"/>
    <x v="0"/>
    <x v="0"/>
    <x v="2"/>
    <x v="0"/>
    <x v="0"/>
    <x v="0"/>
    <x v="0"/>
    <x v="0"/>
    <n v="0"/>
  </r>
  <r>
    <s v="P0800392"/>
    <x v="1"/>
    <s v="IGG08007"/>
    <x v="1"/>
    <x v="0"/>
    <s v="CV205 Elevator Casing Replacement"/>
    <x v="3"/>
    <x v="0"/>
    <n v="411543"/>
    <n v="82.06"/>
    <n v="0"/>
    <n v="422894.91"/>
    <n v="422976.97"/>
    <s v="Stephen"/>
    <s v="Moon"/>
    <s v="GOG06"/>
    <x v="8"/>
    <x v="1"/>
    <x v="1"/>
    <x v="1"/>
    <x v="0"/>
    <x v="0"/>
    <x v="1"/>
    <x v="0"/>
    <x v="0"/>
    <x v="0"/>
    <x v="0"/>
    <x v="0"/>
    <n v="0"/>
  </r>
  <r>
    <s v="P0800393"/>
    <x v="2"/>
    <s v="IAD08005"/>
    <x v="2"/>
    <x v="5"/>
    <s v="BigN Demonstration Trial Rigs"/>
    <x v="8"/>
    <x v="0"/>
    <n v="1999000"/>
    <n v="169.39"/>
    <n v="0"/>
    <n v="1740226.57"/>
    <n v="1740395.96"/>
    <s v="Brett"/>
    <s v="Priebe"/>
    <s v="FRW03"/>
    <x v="20"/>
    <x v="4"/>
    <x v="1"/>
    <x v="1"/>
    <x v="0"/>
    <x v="0"/>
    <x v="2"/>
    <x v="0"/>
    <x v="0"/>
    <x v="1"/>
    <x v="0"/>
    <x v="0"/>
    <n v="0"/>
  </r>
  <r>
    <s v="P0800394"/>
    <x v="1"/>
    <s v="IGO08016"/>
    <x v="1"/>
    <x v="0"/>
    <s v="Replacement BLD136 Canteen A/C Compressor Unit 2"/>
    <x v="1"/>
    <x v="0"/>
    <n v="9621"/>
    <n v="10583"/>
    <n v="0"/>
    <n v="0"/>
    <n v="10583"/>
    <s v="Graeme"/>
    <s v="Osborne"/>
    <s v="GW001"/>
    <x v="8"/>
    <x v="1"/>
    <x v="1"/>
    <x v="1"/>
    <x v="0"/>
    <x v="0"/>
    <x v="2"/>
    <x v="0"/>
    <x v="0"/>
    <x v="0"/>
    <x v="0"/>
    <x v="0"/>
    <n v="0"/>
  </r>
  <r>
    <s v="P0800397"/>
    <x v="2"/>
    <s v="IGE08009"/>
    <x v="4"/>
    <x v="4"/>
    <s v="North Shore Dryer PLC upgrade"/>
    <x v="4"/>
    <x v="0"/>
    <n v="541234"/>
    <n v="27798.28"/>
    <n v="0"/>
    <n v="565405.99"/>
    <n v="593204.27"/>
    <s v="Peter"/>
    <s v="Llewellyn"/>
    <s v="GES01"/>
    <x v="10"/>
    <x v="4"/>
    <x v="1"/>
    <x v="1"/>
    <x v="0"/>
    <x v="0"/>
    <x v="2"/>
    <x v="0"/>
    <x v="0"/>
    <x v="0"/>
    <x v="0"/>
    <x v="0"/>
    <n v="735.52"/>
  </r>
  <r>
    <s v="P0800398"/>
    <x v="1"/>
    <s v="IGA08006"/>
    <x v="1"/>
    <x v="0"/>
    <s v="aMDEA E605B Replacement"/>
    <x v="1"/>
    <x v="0"/>
    <n v="896000"/>
    <n v="404858.18"/>
    <n v="0"/>
    <n v="491540.69"/>
    <n v="896398.87"/>
    <s v="James"/>
    <s v="Frith"/>
    <s v="GOA01"/>
    <x v="8"/>
    <x v="1"/>
    <x v="1"/>
    <x v="1"/>
    <x v="0"/>
    <x v="0"/>
    <x v="1"/>
    <x v="0"/>
    <x v="0"/>
    <x v="0"/>
    <x v="0"/>
    <x v="0"/>
    <n v="207429.98"/>
  </r>
  <r>
    <s v="P0800399"/>
    <x v="2"/>
    <s v="IPD08005"/>
    <x v="9"/>
    <x v="8"/>
    <s v="Bunker Wall Reinforcement"/>
    <x v="3"/>
    <x v="0"/>
    <n v="183000"/>
    <n v="39671.599999999999"/>
    <n v="0"/>
    <n v="145401.84"/>
    <n v="185073.44"/>
    <s v="Karl"/>
    <s v="Nowakowski"/>
    <s v="FWP01"/>
    <x v="21"/>
    <x v="4"/>
    <x v="1"/>
    <x v="1"/>
    <x v="0"/>
    <x v="0"/>
    <x v="1"/>
    <x v="0"/>
    <x v="0"/>
    <x v="0"/>
    <x v="0"/>
    <x v="0"/>
    <n v="0"/>
  </r>
  <r>
    <s v="P0800400"/>
    <x v="1"/>
    <s v="IGA08011"/>
    <x v="1"/>
    <x v="5"/>
    <s v="Advanced Process Control Phase 1"/>
    <x v="2"/>
    <x v="0"/>
    <n v="181572"/>
    <n v="91455"/>
    <n v="0"/>
    <n v="85737"/>
    <n v="177192"/>
    <s v="Venkat"/>
    <s v="Pattabathula"/>
    <s v="GOA01"/>
    <x v="8"/>
    <x v="1"/>
    <x v="1"/>
    <x v="1"/>
    <x v="0"/>
    <x v="0"/>
    <x v="1"/>
    <x v="0"/>
    <x v="0"/>
    <x v="1"/>
    <x v="0"/>
    <x v="0"/>
    <n v="0"/>
  </r>
  <r>
    <s v="P080041"/>
    <x v="6"/>
    <s v="IKI08014"/>
    <x v="2"/>
    <x v="0"/>
    <s v="P0800418"/>
    <x v="0"/>
    <x v="0"/>
    <n v="0"/>
    <n v="9900"/>
    <n v="9900"/>
    <n v="0"/>
    <n v="9900"/>
    <m/>
    <m/>
    <m/>
    <x v="5"/>
    <x v="1"/>
    <x v="0"/>
    <x v="1"/>
    <x v="0"/>
    <x v="0"/>
    <x v="0"/>
    <x v="0"/>
    <x v="0"/>
    <x v="0"/>
    <x v="0"/>
    <x v="0"/>
    <n v="9900"/>
  </r>
  <r>
    <s v="P0800412"/>
    <x v="1"/>
    <s v="IGO08010"/>
    <x v="1"/>
    <x v="0"/>
    <s v="STORMWATER USE STAGE1 phaseb and STAGE2 phasea"/>
    <x v="3"/>
    <x v="0"/>
    <n v="1185958"/>
    <n v="124492.95"/>
    <n v="0"/>
    <n v="1138370.8999999999"/>
    <n v="1262863.8500000001"/>
    <s v="Leyla"/>
    <s v="Aranda"/>
    <s v="GW001"/>
    <x v="8"/>
    <x v="1"/>
    <x v="1"/>
    <x v="1"/>
    <x v="0"/>
    <x v="0"/>
    <x v="1"/>
    <x v="0"/>
    <x v="0"/>
    <x v="0"/>
    <x v="0"/>
    <x v="0"/>
    <n v="0"/>
  </r>
  <r>
    <s v="P080042"/>
    <x v="6"/>
    <s v="IKI08014"/>
    <x v="2"/>
    <x v="0"/>
    <s v="P0800425"/>
    <x v="0"/>
    <x v="0"/>
    <n v="0"/>
    <n v="9949.7999999999993"/>
    <n v="9949.7999999999993"/>
    <n v="0"/>
    <n v="9949.7999999999993"/>
    <m/>
    <m/>
    <m/>
    <x v="5"/>
    <x v="1"/>
    <x v="0"/>
    <x v="0"/>
    <x v="0"/>
    <x v="0"/>
    <x v="0"/>
    <x v="0"/>
    <x v="0"/>
    <x v="0"/>
    <x v="0"/>
    <x v="0"/>
    <n v="9949.7999999999993"/>
  </r>
  <r>
    <s v="P0800420"/>
    <x v="2"/>
    <s v="IGE08006"/>
    <x v="4"/>
    <x v="0"/>
    <s v="Oyster Cove Truck Parking"/>
    <x v="3"/>
    <x v="0"/>
    <n v="20340"/>
    <n v="2540"/>
    <n v="0"/>
    <n v="17576.080000000002"/>
    <n v="20116.080000000002"/>
    <s v="Richard"/>
    <s v="Jacobson"/>
    <s v="GES01"/>
    <x v="10"/>
    <x v="4"/>
    <x v="1"/>
    <x v="1"/>
    <x v="0"/>
    <x v="0"/>
    <x v="1"/>
    <x v="0"/>
    <x v="0"/>
    <x v="0"/>
    <x v="0"/>
    <x v="0"/>
    <n v="0"/>
  </r>
  <r>
    <s v="P0800422"/>
    <x v="2"/>
    <s v="IPM08003"/>
    <x v="9"/>
    <x v="0"/>
    <s v="Drier Plant Roof Ridge to Fan Inlet Ducting"/>
    <x v="3"/>
    <x v="0"/>
    <n v="282000"/>
    <n v="5328.04"/>
    <n v="0"/>
    <n v="210024.01"/>
    <n v="215352.05"/>
    <s v="Karl"/>
    <s v="Nowakowski"/>
    <s v="PTS01"/>
    <x v="22"/>
    <x v="4"/>
    <x v="1"/>
    <x v="1"/>
    <x v="0"/>
    <x v="0"/>
    <x v="1"/>
    <x v="0"/>
    <x v="0"/>
    <x v="0"/>
    <x v="0"/>
    <x v="0"/>
    <n v="0"/>
  </r>
  <r>
    <s v="P0800425"/>
    <x v="2"/>
    <s v="IKI08014"/>
    <x v="2"/>
    <x v="0"/>
    <s v="Mackay - Install New Trace Element Hopper"/>
    <x v="5"/>
    <x v="0"/>
    <n v="9950"/>
    <n v="-4060.77"/>
    <n v="-9949.7999999999993"/>
    <n v="4060.77"/>
    <n v="0"/>
    <s v="Ray"/>
    <s v="Gofton"/>
    <s v="FWM04"/>
    <x v="13"/>
    <x v="1"/>
    <x v="1"/>
    <x v="1"/>
    <x v="0"/>
    <x v="0"/>
    <x v="1"/>
    <x v="0"/>
    <x v="0"/>
    <x v="0"/>
    <x v="0"/>
    <x v="0"/>
    <n v="-9949.7999999999993"/>
  </r>
  <r>
    <s v="P0800426"/>
    <x v="2"/>
    <s v="IGE08006"/>
    <x v="4"/>
    <x v="0"/>
    <s v="IPL Geelong Breath Analysers"/>
    <x v="3"/>
    <x v="0"/>
    <n v="8500"/>
    <n v="82.8"/>
    <n v="0"/>
    <n v="5316.75"/>
    <n v="5399.55"/>
    <s v="Mark"/>
    <s v="Yeates"/>
    <s v="GEA 0"/>
    <x v="10"/>
    <x v="4"/>
    <x v="1"/>
    <x v="1"/>
    <x v="0"/>
    <x v="0"/>
    <x v="2"/>
    <x v="0"/>
    <x v="0"/>
    <x v="0"/>
    <x v="0"/>
    <x v="0"/>
    <n v="0"/>
  </r>
  <r>
    <s v="P0800428"/>
    <x v="2"/>
    <s v="IGE08013"/>
    <x v="4"/>
    <x v="0"/>
    <s v="2 3 5 Conveyor Junction Dust Extraction"/>
    <x v="3"/>
    <x v="0"/>
    <n v="49900"/>
    <n v="3901.47"/>
    <n v="0"/>
    <n v="50698.32"/>
    <n v="54599.79"/>
    <s v="Raffaele"/>
    <s v="D'agostino"/>
    <s v="GES01"/>
    <x v="10"/>
    <x v="4"/>
    <x v="1"/>
    <x v="1"/>
    <x v="0"/>
    <x v="0"/>
    <x v="1"/>
    <x v="0"/>
    <x v="0"/>
    <x v="0"/>
    <x v="0"/>
    <x v="0"/>
    <n v="0"/>
  </r>
  <r>
    <s v="P0800429"/>
    <x v="2"/>
    <s v="IGE08007"/>
    <x v="4"/>
    <x v="0"/>
    <s v="Rock Shed Elevator Jogging"/>
    <x v="4"/>
    <x v="0"/>
    <n v="49050"/>
    <n v="35353.58"/>
    <n v="0"/>
    <n v="9104.2999999999993"/>
    <n v="44457.88"/>
    <s v="David"/>
    <s v="Kelly"/>
    <s v="GES01"/>
    <x v="10"/>
    <x v="4"/>
    <x v="1"/>
    <x v="1"/>
    <x v="0"/>
    <x v="0"/>
    <x v="2"/>
    <x v="0"/>
    <x v="0"/>
    <x v="0"/>
    <x v="0"/>
    <x v="0"/>
    <n v="0"/>
  </r>
  <r>
    <s v="P0800435"/>
    <x v="2"/>
    <s v="ISO08017"/>
    <x v="7"/>
    <x v="5"/>
    <s v="Sulphuric Acid Dilution Plant Upgrade"/>
    <x v="1"/>
    <x v="0"/>
    <n v="565000"/>
    <n v="338354.35"/>
    <n v="0"/>
    <n v="308298.45"/>
    <n v="646652.80000000005"/>
    <s v="Michael"/>
    <s v="Doyle"/>
    <s v="FWX14"/>
    <x v="14"/>
    <x v="3"/>
    <x v="1"/>
    <x v="1"/>
    <x v="0"/>
    <x v="0"/>
    <x v="2"/>
    <x v="0"/>
    <x v="0"/>
    <x v="0"/>
    <x v="0"/>
    <x v="0"/>
    <n v="18606.240000000002"/>
  </r>
  <r>
    <s v="P0800442"/>
    <x v="2"/>
    <s v="IKI08014"/>
    <x v="2"/>
    <x v="0"/>
    <s v="Mackay - Blender Cameras"/>
    <x v="5"/>
    <x v="0"/>
    <n v="8455"/>
    <n v="2800"/>
    <n v="0"/>
    <n v="5972.26"/>
    <n v="8772.26"/>
    <s v="Ray"/>
    <s v="Gofton"/>
    <s v="FWM08"/>
    <x v="13"/>
    <x v="1"/>
    <x v="1"/>
    <x v="1"/>
    <x v="0"/>
    <x v="0"/>
    <x v="1"/>
    <x v="0"/>
    <x v="0"/>
    <x v="0"/>
    <x v="0"/>
    <x v="0"/>
    <n v="0"/>
  </r>
  <r>
    <s v="P0800443"/>
    <x v="1"/>
    <s v="IGG08008"/>
    <x v="1"/>
    <x v="5"/>
    <s v="Granulation Plant Screens Replacement"/>
    <x v="1"/>
    <x v="0"/>
    <n v="743289"/>
    <n v="120"/>
    <n v="0"/>
    <n v="910675.75"/>
    <n v="910795.75"/>
    <s v="Daniel"/>
    <s v="O'shea"/>
    <s v="GOG06"/>
    <x v="8"/>
    <x v="1"/>
    <x v="1"/>
    <x v="1"/>
    <x v="0"/>
    <x v="0"/>
    <x v="1"/>
    <x v="0"/>
    <x v="0"/>
    <x v="0"/>
    <x v="0"/>
    <x v="0"/>
    <n v="0"/>
  </r>
  <r>
    <s v="P0800444"/>
    <x v="5"/>
    <s v="IFI08010"/>
    <x v="5"/>
    <x v="6"/>
    <s v="GI network infrastructure Upgrade"/>
    <x v="9"/>
    <x v="0"/>
    <n v="83000"/>
    <n v="-15678.39"/>
    <n v="-15106.63"/>
    <n v="88891.73"/>
    <n v="73213.34"/>
    <s v="Boon"/>
    <s v="Beh"/>
    <s v="ZI001"/>
    <x v="11"/>
    <x v="4"/>
    <x v="1"/>
    <x v="1"/>
    <x v="0"/>
    <x v="0"/>
    <x v="1"/>
    <x v="0"/>
    <x v="0"/>
    <x v="0"/>
    <x v="0"/>
    <x v="0"/>
    <n v="-15678.39"/>
  </r>
  <r>
    <s v="P0800448"/>
    <x v="1"/>
    <s v="IGO08008"/>
    <x v="1"/>
    <x v="0"/>
    <s v="Purchase Ammonia Plant Relief Devices"/>
    <x v="1"/>
    <x v="0"/>
    <n v="49887"/>
    <n v="49988"/>
    <n v="0"/>
    <n v="0"/>
    <n v="49988"/>
    <s v="Jordan"/>
    <s v="Blackmur"/>
    <s v="GOA01"/>
    <x v="8"/>
    <x v="1"/>
    <x v="1"/>
    <x v="1"/>
    <x v="0"/>
    <x v="0"/>
    <x v="2"/>
    <x v="0"/>
    <x v="0"/>
    <x v="0"/>
    <x v="0"/>
    <x v="0"/>
    <n v="1980"/>
  </r>
  <r>
    <s v="P0800449"/>
    <x v="7"/>
    <s v="IKI08014"/>
    <x v="2"/>
    <x v="0"/>
    <s v="Substation 4 MCC replacement"/>
    <x v="3"/>
    <x v="0"/>
    <n v="46420"/>
    <n v="21145.5"/>
    <n v="0"/>
    <n v="92.56"/>
    <n v="21238.06"/>
    <s v="Peter"/>
    <s v="Key"/>
    <s v="PW004"/>
    <x v="16"/>
    <x v="1"/>
    <x v="1"/>
    <x v="1"/>
    <x v="0"/>
    <x v="0"/>
    <x v="2"/>
    <x v="0"/>
    <x v="0"/>
    <x v="0"/>
    <x v="0"/>
    <x v="0"/>
    <n v="0"/>
  </r>
  <r>
    <s v="P0800450"/>
    <x v="6"/>
    <s v="IKI08014"/>
    <x v="2"/>
    <x v="0"/>
    <s v="KI New Storeroom"/>
    <x v="8"/>
    <x v="0"/>
    <n v="34450"/>
    <n v="36013"/>
    <n v="0"/>
    <n v="28955"/>
    <n v="64968"/>
    <s v="Lee"/>
    <s v="Appleby"/>
    <s v="NFD10"/>
    <x v="12"/>
    <x v="2"/>
    <x v="1"/>
    <x v="1"/>
    <x v="0"/>
    <x v="0"/>
    <x v="2"/>
    <x v="0"/>
    <x v="0"/>
    <x v="1"/>
    <x v="0"/>
    <x v="0"/>
    <n v="0"/>
  </r>
  <r>
    <s v="P0800451"/>
    <x v="1"/>
    <s v="IGO08008"/>
    <x v="1"/>
    <x v="0"/>
    <s v="PDC Wharf Replacement Guardhouses"/>
    <x v="1"/>
    <x v="0"/>
    <n v="22746"/>
    <n v="20778"/>
    <n v="0"/>
    <n v="0"/>
    <n v="20778"/>
    <s v="Graeme"/>
    <s v="Osborne"/>
    <s v="GD010"/>
    <x v="8"/>
    <x v="1"/>
    <x v="1"/>
    <x v="1"/>
    <x v="0"/>
    <x v="0"/>
    <x v="1"/>
    <x v="0"/>
    <x v="0"/>
    <x v="0"/>
    <x v="0"/>
    <x v="0"/>
    <n v="0"/>
  </r>
  <r>
    <s v="P0800455"/>
    <x v="2"/>
    <s v="IGE08006"/>
    <x v="4"/>
    <x v="0"/>
    <s v="North Shore Supersheds Mods"/>
    <x v="5"/>
    <x v="0"/>
    <n v="14720"/>
    <n v="1890"/>
    <n v="0"/>
    <n v="10434.74"/>
    <n v="12324.74"/>
    <s v="Greg"/>
    <s v="Edge"/>
    <s v="FWG03"/>
    <x v="15"/>
    <x v="4"/>
    <x v="1"/>
    <x v="1"/>
    <x v="0"/>
    <x v="0"/>
    <x v="2"/>
    <x v="0"/>
    <x v="0"/>
    <x v="0"/>
    <x v="0"/>
    <x v="0"/>
    <n v="0"/>
  </r>
  <r>
    <s v="P0800457"/>
    <x v="2"/>
    <s v="IGE08006"/>
    <x v="4"/>
    <x v="0"/>
    <s v="No 1 Fines Screen Box Frame Upgrade"/>
    <x v="1"/>
    <x v="0"/>
    <n v="48780"/>
    <n v="8"/>
    <n v="0"/>
    <n v="69960.5"/>
    <n v="69968.5"/>
    <s v="Peter"/>
    <s v="Maurer"/>
    <s v="GEL01"/>
    <x v="10"/>
    <x v="4"/>
    <x v="1"/>
    <x v="1"/>
    <x v="0"/>
    <x v="0"/>
    <x v="2"/>
    <x v="0"/>
    <x v="0"/>
    <x v="0"/>
    <x v="0"/>
    <x v="0"/>
    <n v="0"/>
  </r>
  <r>
    <s v="P0800462"/>
    <x v="2"/>
    <s v="IPM08020"/>
    <x v="9"/>
    <x v="0"/>
    <s v="Despatch roofing replacement 2008"/>
    <x v="1"/>
    <x v="0"/>
    <n v="402000"/>
    <n v="41185"/>
    <n v="0"/>
    <n v="355298.5"/>
    <n v="396483.5"/>
    <s v="Karl"/>
    <s v="Nowakowski"/>
    <s v="FWP01"/>
    <x v="21"/>
    <x v="4"/>
    <x v="1"/>
    <x v="1"/>
    <x v="0"/>
    <x v="0"/>
    <x v="1"/>
    <x v="0"/>
    <x v="0"/>
    <x v="0"/>
    <x v="0"/>
    <x v="0"/>
    <n v="0"/>
  </r>
  <r>
    <s v="P0800466"/>
    <x v="1"/>
    <s v="IGA08007"/>
    <x v="1"/>
    <x v="0"/>
    <s v="C602/GCT602 Sequencer Replacement"/>
    <x v="1"/>
    <x v="0"/>
    <n v="899987"/>
    <n v="271926.28999999998"/>
    <n v="1722.5"/>
    <n v="515796.43"/>
    <n v="787722.72"/>
    <s v="Todd"/>
    <s v="Mclennan"/>
    <s v="G0A01"/>
    <x v="8"/>
    <x v="1"/>
    <x v="1"/>
    <x v="1"/>
    <x v="0"/>
    <x v="0"/>
    <x v="2"/>
    <x v="0"/>
    <x v="0"/>
    <x v="0"/>
    <x v="0"/>
    <x v="0"/>
    <n v="10211.35"/>
  </r>
  <r>
    <s v="P0800467"/>
    <x v="1"/>
    <s v="IGA08021"/>
    <x v="1"/>
    <x v="0"/>
    <s v="Honeywell Experion Control System Upgrade"/>
    <x v="1"/>
    <x v="0"/>
    <n v="2095000"/>
    <n v="739358.42"/>
    <n v="37041.58"/>
    <n v="1234044.07"/>
    <n v="1973402.49"/>
    <s v="John"/>
    <s v="Mccullough"/>
    <s v="GOA01"/>
    <x v="8"/>
    <x v="1"/>
    <x v="1"/>
    <x v="1"/>
    <x v="0"/>
    <x v="0"/>
    <x v="2"/>
    <x v="0"/>
    <x v="0"/>
    <x v="0"/>
    <x v="1"/>
    <x v="0"/>
    <n v="96692.36"/>
  </r>
  <r>
    <s v="P0800471"/>
    <x v="5"/>
    <s v="IFI08014"/>
    <x v="5"/>
    <x v="0"/>
    <s v="Swipe Cardax System"/>
    <x v="1"/>
    <x v="0"/>
    <n v="24000"/>
    <n v="32834.44"/>
    <n v="0"/>
    <n v="0"/>
    <n v="32834.44"/>
    <s v="Paul"/>
    <s v="Mara"/>
    <s v="ZA001"/>
    <x v="23"/>
    <x v="4"/>
    <x v="1"/>
    <x v="1"/>
    <x v="0"/>
    <x v="0"/>
    <x v="1"/>
    <x v="0"/>
    <x v="0"/>
    <x v="0"/>
    <x v="0"/>
    <x v="0"/>
    <n v="0"/>
  </r>
  <r>
    <s v="P0800474"/>
    <x v="2"/>
    <s v="IPM08002"/>
    <x v="9"/>
    <x v="0"/>
    <s v="Phase 2 RCD switchboard upgrades"/>
    <x v="3"/>
    <x v="0"/>
    <n v="49145"/>
    <n v="2918"/>
    <n v="0"/>
    <n v="44754.55"/>
    <n v="47672.55"/>
    <s v="Karl"/>
    <s v="Nowakowski"/>
    <s v="FWP01"/>
    <x v="21"/>
    <x v="4"/>
    <x v="1"/>
    <x v="1"/>
    <x v="0"/>
    <x v="0"/>
    <x v="2"/>
    <x v="0"/>
    <x v="0"/>
    <x v="0"/>
    <x v="0"/>
    <x v="0"/>
    <n v="0"/>
  </r>
  <r>
    <s v="P0800475"/>
    <x v="6"/>
    <s v="IKI08012"/>
    <x v="2"/>
    <x v="4"/>
    <s v="AR(C) KI Shed2 Upgrade - Stage 2 Construction"/>
    <x v="4"/>
    <x v="0"/>
    <n v="1117366"/>
    <n v="1163459.24"/>
    <n v="105879.98"/>
    <n v="29036.39"/>
    <n v="1192495.6299999999"/>
    <s v="Lee"/>
    <s v="Appleby"/>
    <s v="NFD10"/>
    <x v="12"/>
    <x v="2"/>
    <x v="1"/>
    <x v="0"/>
    <x v="2"/>
    <x v="0"/>
    <x v="2"/>
    <x v="0"/>
    <x v="0"/>
    <x v="0"/>
    <x v="0"/>
    <x v="0"/>
    <n v="347722.48"/>
  </r>
  <r>
    <s v="P0800478"/>
    <x v="2"/>
    <s v="IGE08006"/>
    <x v="4"/>
    <x v="0"/>
    <s v="Granulation drum-grizzly redesign"/>
    <x v="3"/>
    <x v="0"/>
    <n v="26400"/>
    <n v="8433"/>
    <n v="0"/>
    <n v="20549.240000000002"/>
    <n v="28982.240000000002"/>
    <s v="Reece"/>
    <s v="Pitkowczy"/>
    <s v="GES01"/>
    <x v="10"/>
    <x v="4"/>
    <x v="1"/>
    <x v="1"/>
    <x v="0"/>
    <x v="0"/>
    <x v="2"/>
    <x v="0"/>
    <x v="0"/>
    <x v="0"/>
    <x v="0"/>
    <x v="0"/>
    <n v="0"/>
  </r>
  <r>
    <s v="P0800482"/>
    <x v="1"/>
    <s v="IGA08020"/>
    <x v="1"/>
    <x v="9"/>
    <s v="Spare - GG4 S/N 675197 Refurbishment"/>
    <x v="4"/>
    <x v="0"/>
    <n v="460211"/>
    <n v="881.03"/>
    <n v="0"/>
    <n v="456728.11"/>
    <n v="457609.14"/>
    <s v="Kevin"/>
    <s v="Martin"/>
    <s v="GOA01"/>
    <x v="8"/>
    <x v="1"/>
    <x v="1"/>
    <x v="1"/>
    <x v="0"/>
    <x v="0"/>
    <x v="1"/>
    <x v="0"/>
    <x v="0"/>
    <x v="0"/>
    <x v="0"/>
    <x v="0"/>
    <n v="0"/>
  </r>
  <r>
    <s v="P0800485"/>
    <x v="2"/>
    <s v="IPM08021"/>
    <x v="9"/>
    <x v="0"/>
    <s v="Dryer Pipe Replacement"/>
    <x v="3"/>
    <x v="0"/>
    <n v="162000"/>
    <n v="19000"/>
    <n v="0"/>
    <n v="117599"/>
    <n v="136599"/>
    <s v="Karl"/>
    <s v="Nowakowski"/>
    <s v="PTS01"/>
    <x v="22"/>
    <x v="4"/>
    <x v="1"/>
    <x v="1"/>
    <x v="0"/>
    <x v="0"/>
    <x v="1"/>
    <x v="0"/>
    <x v="0"/>
    <x v="0"/>
    <x v="0"/>
    <x v="0"/>
    <n v="0"/>
  </r>
  <r>
    <s v="P0800487"/>
    <x v="5"/>
    <s v="IMO08002"/>
    <x v="8"/>
    <x v="7"/>
    <s v="Shutdown Database Development (IMPACTS)"/>
    <x v="10"/>
    <x v="0"/>
    <n v="250000"/>
    <n v="3611.52"/>
    <n v="0"/>
    <n v="248889.99"/>
    <n v="252501.51"/>
    <s v="Dan"/>
    <s v="Miller"/>
    <s v="ZM203"/>
    <x v="8"/>
    <x v="1"/>
    <x v="1"/>
    <x v="1"/>
    <x v="0"/>
    <x v="0"/>
    <x v="2"/>
    <x v="0"/>
    <x v="0"/>
    <x v="0"/>
    <x v="0"/>
    <x v="0"/>
    <n v="0"/>
  </r>
  <r>
    <s v="P0800490"/>
    <x v="2"/>
    <s v="STO08005"/>
    <x v="3"/>
    <x v="0"/>
    <s v="Townsville #2 (New) Blender Guarding Upgrade"/>
    <x v="3"/>
    <x v="0"/>
    <n v="79047"/>
    <n v="29608.66"/>
    <n v="0"/>
    <n v="4800"/>
    <n v="34408.660000000003"/>
    <s v="Geoff"/>
    <s v="Brown"/>
    <s v="FTW08"/>
    <x v="13"/>
    <x v="1"/>
    <x v="1"/>
    <x v="1"/>
    <x v="0"/>
    <x v="0"/>
    <x v="2"/>
    <x v="0"/>
    <x v="0"/>
    <x v="0"/>
    <x v="0"/>
    <x v="0"/>
    <n v="1293.6600000000001"/>
  </r>
  <r>
    <s v="P0800493"/>
    <x v="2"/>
    <s v="ISC08007"/>
    <x v="6"/>
    <x v="0"/>
    <s v="Demand Planner Technical Upgrade"/>
    <x v="10"/>
    <x v="0"/>
    <n v="198000"/>
    <n v="50031.57"/>
    <n v="0"/>
    <n v="29162.6"/>
    <n v="79194.17"/>
    <s v="Brad"/>
    <s v="Martin"/>
    <s v="FL001"/>
    <x v="1"/>
    <x v="1"/>
    <x v="1"/>
    <x v="1"/>
    <x v="0"/>
    <x v="0"/>
    <x v="2"/>
    <x v="0"/>
    <x v="0"/>
    <x v="0"/>
    <x v="0"/>
    <x v="0"/>
    <n v="0"/>
  </r>
  <r>
    <s v="P0800494"/>
    <x v="2"/>
    <s v="IGE08022"/>
    <x v="4"/>
    <x v="5"/>
    <s v="Oversize screen inlet chute re-design"/>
    <x v="3"/>
    <x v="0"/>
    <n v="131720"/>
    <n v="88284.47"/>
    <n v="0"/>
    <n v="46511.46"/>
    <n v="134795.93"/>
    <s v="Reece"/>
    <s v="Pitkowczy"/>
    <s v="GES01"/>
    <x v="10"/>
    <x v="4"/>
    <x v="1"/>
    <x v="1"/>
    <x v="0"/>
    <x v="0"/>
    <x v="2"/>
    <x v="0"/>
    <x v="0"/>
    <x v="0"/>
    <x v="0"/>
    <x v="0"/>
    <n v="0"/>
  </r>
  <r>
    <s v="P0800498"/>
    <x v="7"/>
    <s v="IGO08008"/>
    <x v="1"/>
    <x v="0"/>
    <s v="Pinkenba PDC Canteen A/C Replacement"/>
    <x v="1"/>
    <x v="0"/>
    <n v="49500"/>
    <n v="44520.88"/>
    <n v="0"/>
    <n v="9929.1200000000008"/>
    <n v="54450"/>
    <s v="Graeme"/>
    <s v="Osborne"/>
    <s v="PW004"/>
    <x v="16"/>
    <x v="1"/>
    <x v="1"/>
    <x v="1"/>
    <x v="0"/>
    <x v="0"/>
    <x v="1"/>
    <x v="0"/>
    <x v="0"/>
    <x v="0"/>
    <x v="0"/>
    <x v="0"/>
    <n v="0"/>
  </r>
  <r>
    <s v="P0800499"/>
    <x v="2"/>
    <s v="IGE08006"/>
    <x v="4"/>
    <x v="0"/>
    <s v="FSA Bleed"/>
    <x v="5"/>
    <x v="0"/>
    <n v="49379"/>
    <n v="15409.76"/>
    <n v="0"/>
    <n v="20208.740000000002"/>
    <n v="35618.5"/>
    <s v="David"/>
    <s v="Kelly"/>
    <s v="GES01"/>
    <x v="10"/>
    <x v="4"/>
    <x v="1"/>
    <x v="1"/>
    <x v="0"/>
    <x v="0"/>
    <x v="2"/>
    <x v="0"/>
    <x v="0"/>
    <x v="0"/>
    <x v="0"/>
    <x v="0"/>
    <n v="0"/>
  </r>
  <r>
    <s v="P0800500"/>
    <x v="2"/>
    <s v="IGE08006"/>
    <x v="4"/>
    <x v="0"/>
    <s v="No.1 Raw Conveyor safety improvements"/>
    <x v="3"/>
    <x v="0"/>
    <n v="49400"/>
    <n v="13236.26"/>
    <n v="0"/>
    <n v="41103.68"/>
    <n v="54339.94"/>
    <s v="Raffaele"/>
    <s v="D'agostino"/>
    <s v="GES01"/>
    <x v="10"/>
    <x v="4"/>
    <x v="1"/>
    <x v="1"/>
    <x v="0"/>
    <x v="0"/>
    <x v="1"/>
    <x v="0"/>
    <x v="0"/>
    <x v="0"/>
    <x v="0"/>
    <x v="0"/>
    <n v="0"/>
  </r>
  <r>
    <s v="P0800501"/>
    <x v="2"/>
    <s v="IGE08006"/>
    <x v="4"/>
    <x v="0"/>
    <s v="No.1 Raw Conveyor Head Chute redesign"/>
    <x v="7"/>
    <x v="0"/>
    <n v="49950"/>
    <n v="6077.05"/>
    <n v="0"/>
    <n v="48868.2"/>
    <n v="54945.25"/>
    <s v="Raffaele"/>
    <s v="D'agostino"/>
    <s v="GES01"/>
    <x v="10"/>
    <x v="4"/>
    <x v="1"/>
    <x v="1"/>
    <x v="0"/>
    <x v="0"/>
    <x v="2"/>
    <x v="0"/>
    <x v="0"/>
    <x v="0"/>
    <x v="0"/>
    <x v="0"/>
    <n v="0"/>
  </r>
  <r>
    <s v="P0800503"/>
    <x v="2"/>
    <s v="INO08013"/>
    <x v="3"/>
    <x v="4"/>
    <s v="AR C - Mackay - Screen Upgrade"/>
    <x v="1"/>
    <x v="0"/>
    <n v="49599"/>
    <n v="16501.16"/>
    <n v="0"/>
    <n v="33099"/>
    <n v="49600.160000000003"/>
    <s v="Ray"/>
    <s v="Gofton"/>
    <s v="FWM08"/>
    <x v="13"/>
    <x v="1"/>
    <x v="1"/>
    <x v="1"/>
    <x v="0"/>
    <x v="0"/>
    <x v="1"/>
    <x v="0"/>
    <x v="0"/>
    <x v="0"/>
    <x v="0"/>
    <x v="0"/>
    <n v="0"/>
  </r>
  <r>
    <s v="P0800504"/>
    <x v="6"/>
    <s v="IKI08014"/>
    <x v="2"/>
    <x v="0"/>
    <s v="KI Inspection Hatch For 1 Ton Bag Hopper"/>
    <x v="5"/>
    <x v="0"/>
    <n v="13746"/>
    <n v="10224.4"/>
    <n v="0"/>
    <n v="4280"/>
    <n v="14504.4"/>
    <s v="James"/>
    <s v="Hartley"/>
    <s v="NFD10"/>
    <x v="12"/>
    <x v="2"/>
    <x v="1"/>
    <x v="1"/>
    <x v="0"/>
    <x v="0"/>
    <x v="1"/>
    <x v="0"/>
    <x v="0"/>
    <x v="0"/>
    <x v="0"/>
    <x v="0"/>
    <n v="0"/>
  </r>
  <r>
    <s v="P0800505"/>
    <x v="2"/>
    <s v="IPM08002"/>
    <x v="9"/>
    <x v="0"/>
    <s v="M7 PCR Distribution Screw Flight Replacement"/>
    <x v="1"/>
    <x v="0"/>
    <n v="36000"/>
    <n v="27489.71"/>
    <n v="0"/>
    <n v="0"/>
    <n v="27489.71"/>
    <s v="Peter"/>
    <s v="Mcgrath"/>
    <s v="PTS01"/>
    <x v="22"/>
    <x v="4"/>
    <x v="1"/>
    <x v="1"/>
    <x v="0"/>
    <x v="0"/>
    <x v="2"/>
    <x v="0"/>
    <x v="0"/>
    <x v="0"/>
    <x v="0"/>
    <x v="0"/>
    <n v="-1130"/>
  </r>
  <r>
    <s v="P0800506"/>
    <x v="7"/>
    <s v="IGO08008"/>
    <x v="1"/>
    <x v="0"/>
    <s v="Crop Care Building Air Conditioning"/>
    <x v="1"/>
    <x v="0"/>
    <n v="27115"/>
    <n v="249.3"/>
    <n v="0"/>
    <n v="24650"/>
    <n v="24899.3"/>
    <s v="Graeme"/>
    <s v="Osborne"/>
    <s v="PW004"/>
    <x v="16"/>
    <x v="1"/>
    <x v="1"/>
    <x v="1"/>
    <x v="0"/>
    <x v="0"/>
    <x v="1"/>
    <x v="0"/>
    <x v="0"/>
    <x v="0"/>
    <x v="0"/>
    <x v="0"/>
    <n v="0"/>
  </r>
  <r>
    <s v="P0800507"/>
    <x v="2"/>
    <s v="IGE08006"/>
    <x v="4"/>
    <x v="0"/>
    <s v="Mills Belt Adjustment - North"/>
    <x v="3"/>
    <x v="0"/>
    <n v="49110"/>
    <n v="3797.56"/>
    <n v="0"/>
    <n v="48402.75"/>
    <n v="52200.31"/>
    <s v="Richard"/>
    <s v="Jacobson"/>
    <s v="GES01"/>
    <x v="10"/>
    <x v="4"/>
    <x v="1"/>
    <x v="1"/>
    <x v="0"/>
    <x v="0"/>
    <x v="1"/>
    <x v="0"/>
    <x v="0"/>
    <x v="0"/>
    <x v="0"/>
    <x v="0"/>
    <n v="0"/>
  </r>
  <r>
    <s v="P0800508"/>
    <x v="2"/>
    <s v="IPM08002"/>
    <x v="9"/>
    <x v="0"/>
    <s v="M15 BPCR Transfer Srew Conveyor Replacement"/>
    <x v="1"/>
    <x v="0"/>
    <n v="31000"/>
    <n v="23762.73"/>
    <n v="0"/>
    <n v="0"/>
    <n v="23762.73"/>
    <s v="Peter"/>
    <s v="Mcgrath"/>
    <s v="PTS01"/>
    <x v="22"/>
    <x v="4"/>
    <x v="1"/>
    <x v="1"/>
    <x v="0"/>
    <x v="0"/>
    <x v="2"/>
    <x v="0"/>
    <x v="0"/>
    <x v="0"/>
    <x v="0"/>
    <x v="0"/>
    <n v="0"/>
  </r>
  <r>
    <s v="P0800509"/>
    <x v="2"/>
    <s v="INO08027"/>
    <x v="3"/>
    <x v="0"/>
    <s v="Mackay - Screen 201 Upgrade"/>
    <x v="1"/>
    <x v="0"/>
    <n v="43099"/>
    <n v="9999.6"/>
    <n v="0"/>
    <n v="33099"/>
    <n v="43098.6"/>
    <s v="Ray"/>
    <s v="Gofton"/>
    <s v="FWM04"/>
    <x v="13"/>
    <x v="1"/>
    <x v="1"/>
    <x v="1"/>
    <x v="0"/>
    <x v="0"/>
    <x v="1"/>
    <x v="0"/>
    <x v="0"/>
    <x v="0"/>
    <x v="0"/>
    <x v="0"/>
    <n v="0"/>
  </r>
  <r>
    <s v="P0800511"/>
    <x v="2"/>
    <s v="IPD08006"/>
    <x v="9"/>
    <x v="4"/>
    <s v="AR (C) Portland  Despatch MCC Replacement"/>
    <x v="3"/>
    <x v="0"/>
    <n v="576400"/>
    <n v="391300.87"/>
    <n v="0"/>
    <n v="155060.84"/>
    <n v="546361.71"/>
    <s v="Karl"/>
    <s v="Nowakowski"/>
    <s v="FWP01"/>
    <x v="21"/>
    <x v="4"/>
    <x v="1"/>
    <x v="1"/>
    <x v="0"/>
    <x v="0"/>
    <x v="1"/>
    <x v="0"/>
    <x v="0"/>
    <x v="0"/>
    <x v="0"/>
    <x v="0"/>
    <n v="0"/>
  </r>
  <r>
    <s v="P0800513"/>
    <x v="1"/>
    <s v="IGI08015"/>
    <x v="1"/>
    <x v="0"/>
    <s v="Container Ramp with sides"/>
    <x v="3"/>
    <x v="0"/>
    <n v="3470"/>
    <n v="-215.93"/>
    <n v="0"/>
    <n v="3370.33"/>
    <n v="3154.4"/>
    <s v="Mike"/>
    <s v="Swallow"/>
    <s v="GD012"/>
    <x v="8"/>
    <x v="1"/>
    <x v="1"/>
    <x v="1"/>
    <x v="0"/>
    <x v="0"/>
    <x v="1"/>
    <x v="0"/>
    <x v="0"/>
    <x v="0"/>
    <x v="0"/>
    <x v="0"/>
    <n v="0"/>
  </r>
  <r>
    <s v="P0800515"/>
    <x v="1"/>
    <s v="IGI08010"/>
    <x v="1"/>
    <x v="4"/>
    <s v="AR C-Floor Grating Handrail &amp; Support Steel Upgr"/>
    <x v="3"/>
    <x v="0"/>
    <n v="198000"/>
    <n v="-3821.21"/>
    <n v="0"/>
    <n v="221494.04"/>
    <n v="217672.83"/>
    <s v="Mike"/>
    <s v="Swallow"/>
    <s v="GD012"/>
    <x v="8"/>
    <x v="1"/>
    <x v="1"/>
    <x v="0"/>
    <x v="2"/>
    <x v="0"/>
    <x v="1"/>
    <x v="0"/>
    <x v="0"/>
    <x v="0"/>
    <x v="0"/>
    <x v="0"/>
    <n v="0"/>
  </r>
  <r>
    <s v="P0800516"/>
    <x v="2"/>
    <s v="IGE08008"/>
    <x v="4"/>
    <x v="0"/>
    <s v="Polishing screen inlet chutes"/>
    <x v="3"/>
    <x v="0"/>
    <n v="152600"/>
    <n v="97065.31"/>
    <n v="0"/>
    <n v="56128.88"/>
    <n v="153194.19"/>
    <s v="Reece"/>
    <s v="Pitkowczy"/>
    <s v="GES01"/>
    <x v="10"/>
    <x v="4"/>
    <x v="1"/>
    <x v="1"/>
    <x v="0"/>
    <x v="0"/>
    <x v="2"/>
    <x v="0"/>
    <x v="0"/>
    <x v="0"/>
    <x v="0"/>
    <x v="0"/>
    <n v="0"/>
  </r>
  <r>
    <s v="P0800517"/>
    <x v="1"/>
    <s v="IGA08022"/>
    <x v="1"/>
    <x v="0"/>
    <s v="AT603 H/N Analyser Replacment"/>
    <x v="1"/>
    <x v="0"/>
    <n v="165157"/>
    <n v="159447.26999999999"/>
    <n v="8236"/>
    <n v="4987.5"/>
    <n v="164434.76999999999"/>
    <s v="Todd"/>
    <s v="Mclennan"/>
    <s v="GOA01"/>
    <x v="8"/>
    <x v="1"/>
    <x v="1"/>
    <x v="1"/>
    <x v="0"/>
    <x v="0"/>
    <x v="1"/>
    <x v="0"/>
    <x v="0"/>
    <x v="0"/>
    <x v="0"/>
    <x v="0"/>
    <n v="33602.400000000001"/>
  </r>
  <r>
    <s v="P0800518"/>
    <x v="2"/>
    <s v="IGE08023"/>
    <x v="4"/>
    <x v="0"/>
    <s v="Dens Belt No.2 Upper Replacement"/>
    <x v="1"/>
    <x v="0"/>
    <n v="183159"/>
    <n v="202035.39"/>
    <n v="0"/>
    <n v="186561.97"/>
    <n v="388597.36"/>
    <s v="David"/>
    <s v="Reeves"/>
    <s v="GES01"/>
    <x v="10"/>
    <x v="4"/>
    <x v="1"/>
    <x v="1"/>
    <x v="0"/>
    <x v="0"/>
    <x v="1"/>
    <x v="0"/>
    <x v="0"/>
    <x v="0"/>
    <x v="0"/>
    <x v="0"/>
    <n v="0"/>
  </r>
  <r>
    <s v="P0800519"/>
    <x v="2"/>
    <s v="IGE08024"/>
    <x v="4"/>
    <x v="0"/>
    <s v="Dens Belt No.1 Upper Replacement"/>
    <x v="1"/>
    <x v="0"/>
    <n v="183159"/>
    <n v="-182278.16"/>
    <n v="0"/>
    <n v="182278.16"/>
    <n v="0"/>
    <s v="David"/>
    <s v="Reeves"/>
    <s v="GES01"/>
    <x v="10"/>
    <x v="4"/>
    <x v="1"/>
    <x v="1"/>
    <x v="0"/>
    <x v="0"/>
    <x v="1"/>
    <x v="0"/>
    <x v="0"/>
    <x v="0"/>
    <x v="0"/>
    <x v="0"/>
    <n v="0"/>
  </r>
  <r>
    <s v="P0800520"/>
    <x v="2"/>
    <s v="IPM08014"/>
    <x v="9"/>
    <x v="5"/>
    <s v="RTO Purchase"/>
    <x v="2"/>
    <x v="0"/>
    <n v="1300000"/>
    <n v="-470803.65"/>
    <n v="-620212.65"/>
    <n v="470803.65"/>
    <n v="0"/>
    <s v="Brian"/>
    <s v="Murphy"/>
    <s v="PTS01"/>
    <x v="22"/>
    <x v="4"/>
    <x v="1"/>
    <x v="1"/>
    <x v="0"/>
    <x v="0"/>
    <x v="2"/>
    <x v="0"/>
    <x v="0"/>
    <x v="1"/>
    <x v="0"/>
    <x v="0"/>
    <n v="-620212.65"/>
  </r>
  <r>
    <s v="P0800522"/>
    <x v="7"/>
    <s v="IPI08018"/>
    <x v="1"/>
    <x v="0"/>
    <s v="Container Ramp with sides"/>
    <x v="3"/>
    <x v="0"/>
    <n v="3470"/>
    <n v="3154.4"/>
    <n v="0"/>
    <n v="0"/>
    <n v="3154.4"/>
    <s v="Mike"/>
    <s v="Swallow"/>
    <s v="PW002"/>
    <x v="8"/>
    <x v="1"/>
    <x v="1"/>
    <x v="1"/>
    <x v="0"/>
    <x v="0"/>
    <x v="1"/>
    <x v="0"/>
    <x v="0"/>
    <x v="0"/>
    <x v="0"/>
    <x v="0"/>
    <n v="0"/>
  </r>
  <r>
    <s v="P0800523"/>
    <x v="1"/>
    <s v="IGO08008"/>
    <x v="1"/>
    <x v="0"/>
    <s v="Land Cyclops Pyrometer"/>
    <x v="1"/>
    <x v="0"/>
    <n v="10440"/>
    <n v="9085"/>
    <n v="0"/>
    <n v="0"/>
    <n v="9085"/>
    <s v="Jordan"/>
    <s v="Blackmur"/>
    <s v="GOA01"/>
    <x v="8"/>
    <x v="1"/>
    <x v="1"/>
    <x v="1"/>
    <x v="0"/>
    <x v="0"/>
    <x v="1"/>
    <x v="0"/>
    <x v="0"/>
    <x v="0"/>
    <x v="0"/>
    <x v="0"/>
    <n v="0"/>
  </r>
  <r>
    <s v="P0800525"/>
    <x v="2"/>
    <s v="IPM08022"/>
    <x v="9"/>
    <x v="0"/>
    <s v="Crossflow Scrubber Kimre Pad Replacement"/>
    <x v="3"/>
    <x v="0"/>
    <n v="49500"/>
    <n v="45100"/>
    <n v="0"/>
    <n v="0"/>
    <n v="45100"/>
    <s v="Steve"/>
    <s v="Arnel"/>
    <s v="PTS01"/>
    <x v="22"/>
    <x v="4"/>
    <x v="1"/>
    <x v="1"/>
    <x v="0"/>
    <x v="0"/>
    <x v="1"/>
    <x v="0"/>
    <x v="0"/>
    <x v="0"/>
    <x v="0"/>
    <x v="0"/>
    <n v="0"/>
  </r>
  <r>
    <s v="P0800526"/>
    <x v="2"/>
    <s v="INO08004"/>
    <x v="3"/>
    <x v="0"/>
    <s v="Cairns Stormwater System"/>
    <x v="3"/>
    <x v="0"/>
    <n v="504000"/>
    <n v="-53755.34"/>
    <n v="-72512.789999999994"/>
    <n v="53755.34"/>
    <n v="0"/>
    <s v="Paul"/>
    <s v="Rylewski"/>
    <s v="FWC09"/>
    <x v="13"/>
    <x v="1"/>
    <x v="1"/>
    <x v="1"/>
    <x v="0"/>
    <x v="0"/>
    <x v="2"/>
    <x v="0"/>
    <x v="0"/>
    <x v="0"/>
    <x v="0"/>
    <x v="0"/>
    <n v="-72512.789999999994"/>
  </r>
  <r>
    <s v="P0800527"/>
    <x v="2"/>
    <s v="INO08019"/>
    <x v="3"/>
    <x v="4"/>
    <s v="AR(C) Stage 1 - Archer Street PDC Refurbishment"/>
    <x v="1"/>
    <x v="0"/>
    <n v="3369860"/>
    <n v="47999.44"/>
    <n v="0"/>
    <n v="572054.02"/>
    <n v="620053.46"/>
    <s v="Gary"/>
    <s v="Page"/>
    <s v="FWT00"/>
    <x v="13"/>
    <x v="1"/>
    <x v="1"/>
    <x v="0"/>
    <x v="2"/>
    <x v="0"/>
    <x v="2"/>
    <x v="0"/>
    <x v="0"/>
    <x v="0"/>
    <x v="1"/>
    <x v="0"/>
    <n v="0"/>
  </r>
  <r>
    <s v="P0800528"/>
    <x v="1"/>
    <s v="IGO08023"/>
    <x v="1"/>
    <x v="0"/>
    <s v="Purchase of Ion Chromatograph"/>
    <x v="5"/>
    <x v="0"/>
    <n v="56200"/>
    <n v="56132"/>
    <n v="0"/>
    <n v="0"/>
    <n v="56132"/>
    <s v="Doug"/>
    <s v="Bennett"/>
    <s v="GW004"/>
    <x v="8"/>
    <x v="1"/>
    <x v="1"/>
    <x v="1"/>
    <x v="0"/>
    <x v="0"/>
    <x v="1"/>
    <x v="0"/>
    <x v="0"/>
    <x v="0"/>
    <x v="0"/>
    <x v="0"/>
    <n v="0"/>
  </r>
  <r>
    <s v="P0800529"/>
    <x v="5"/>
    <s v="IFI08016"/>
    <x v="5"/>
    <x v="6"/>
    <s v="Video Conferencing Upgrade"/>
    <x v="9"/>
    <x v="0"/>
    <n v="310000"/>
    <n v="84540.98"/>
    <n v="0"/>
    <n v="5321.14"/>
    <n v="89862.12"/>
    <s v="Boon"/>
    <s v="Beh"/>
    <s v="ZI003"/>
    <x v="11"/>
    <x v="4"/>
    <x v="1"/>
    <x v="1"/>
    <x v="0"/>
    <x v="0"/>
    <x v="2"/>
    <x v="0"/>
    <x v="0"/>
    <x v="0"/>
    <x v="0"/>
    <x v="0"/>
    <n v="0"/>
  </r>
  <r>
    <s v="P0800530"/>
    <x v="2"/>
    <s v="IGE08025"/>
    <x v="4"/>
    <x v="4"/>
    <s v="AR (C) GE-1 Platforms and Walkways 1"/>
    <x v="4"/>
    <x v="0"/>
    <n v="121895"/>
    <n v="-35880.67"/>
    <n v="-66063.960000000006"/>
    <n v="67535"/>
    <n v="31654.33"/>
    <s v="David"/>
    <s v="Reeves"/>
    <s v="GES01"/>
    <x v="10"/>
    <x v="4"/>
    <x v="1"/>
    <x v="1"/>
    <x v="0"/>
    <x v="0"/>
    <x v="1"/>
    <x v="0"/>
    <x v="0"/>
    <x v="0"/>
    <x v="0"/>
    <x v="0"/>
    <n v="-61063.96"/>
  </r>
  <r>
    <s v="P0800531"/>
    <x v="1"/>
    <s v="IGU08019"/>
    <x v="1"/>
    <x v="0"/>
    <s v="Upgrade R701 Liner"/>
    <x v="4"/>
    <x v="0"/>
    <n v="536716"/>
    <n v="18934.18"/>
    <n v="0"/>
    <n v="551742.57999999996"/>
    <n v="570676.76"/>
    <s v="Steve"/>
    <s v="Mcguire"/>
    <s v="GOU01"/>
    <x v="8"/>
    <x v="1"/>
    <x v="1"/>
    <x v="1"/>
    <x v="0"/>
    <x v="0"/>
    <x v="1"/>
    <x v="0"/>
    <x v="0"/>
    <x v="0"/>
    <x v="0"/>
    <x v="0"/>
    <n v="0"/>
  </r>
  <r>
    <s v="P0800532"/>
    <x v="1"/>
    <s v="IGU08020"/>
    <x v="1"/>
    <x v="0"/>
    <s v="T745 Vacuum Protection Installation"/>
    <x v="4"/>
    <x v="0"/>
    <n v="1607498"/>
    <n v="2355.9"/>
    <n v="1650"/>
    <n v="1684373.48"/>
    <n v="1686729.38"/>
    <s v="Steve"/>
    <s v="Mcguire"/>
    <s v="GOU01"/>
    <x v="8"/>
    <x v="1"/>
    <x v="1"/>
    <x v="1"/>
    <x v="0"/>
    <x v="0"/>
    <x v="2"/>
    <x v="0"/>
    <x v="0"/>
    <x v="0"/>
    <x v="0"/>
    <x v="0"/>
    <n v="1650"/>
  </r>
  <r>
    <s v="P0800533"/>
    <x v="1"/>
    <s v="IGU08021"/>
    <x v="1"/>
    <x v="5"/>
    <s v="3rd CO2 Compressor Installation"/>
    <x v="2"/>
    <x v="0"/>
    <n v="15805600"/>
    <n v="3856350.37"/>
    <n v="793854.21"/>
    <n v="1066944.43"/>
    <n v="4923294.8"/>
    <s v="David"/>
    <s v="Rowbottom"/>
    <s v="GOU01"/>
    <x v="8"/>
    <x v="1"/>
    <x v="1"/>
    <x v="4"/>
    <x v="4"/>
    <x v="0"/>
    <x v="2"/>
    <x v="0"/>
    <x v="0"/>
    <x v="1"/>
    <x v="1"/>
    <x v="0"/>
    <n v="1964141.8"/>
  </r>
  <r>
    <s v="P0800537"/>
    <x v="1"/>
    <s v="IGO08024"/>
    <x v="1"/>
    <x v="0"/>
    <s v="Purchase of Metrohm IC Sample processor 766"/>
    <x v="5"/>
    <x v="0"/>
    <n v="14600"/>
    <n v="14593"/>
    <n v="0"/>
    <n v="0"/>
    <n v="14593"/>
    <s v="Doug"/>
    <s v="Bennett"/>
    <s v="GW004"/>
    <x v="8"/>
    <x v="1"/>
    <x v="1"/>
    <x v="1"/>
    <x v="0"/>
    <x v="0"/>
    <x v="1"/>
    <x v="0"/>
    <x v="0"/>
    <x v="0"/>
    <x v="0"/>
    <x v="0"/>
    <n v="0"/>
  </r>
  <r>
    <s v="P0800539"/>
    <x v="2"/>
    <s v="IGE08006"/>
    <x v="4"/>
    <x v="0"/>
    <s v="No.1 Raw Conveyor skirt and idler frame upgrades"/>
    <x v="3"/>
    <x v="0"/>
    <n v="45900"/>
    <n v="34244.639999999999"/>
    <n v="0"/>
    <n v="0"/>
    <n v="34244.639999999999"/>
    <s v="Raffaele"/>
    <s v="D'agostino"/>
    <s v="GES01"/>
    <x v="10"/>
    <x v="4"/>
    <x v="1"/>
    <x v="1"/>
    <x v="0"/>
    <x v="0"/>
    <x v="2"/>
    <x v="0"/>
    <x v="0"/>
    <x v="0"/>
    <x v="0"/>
    <x v="0"/>
    <n v="7120"/>
  </r>
  <r>
    <s v="P0800541"/>
    <x v="2"/>
    <s v="IGE08006"/>
    <x v="4"/>
    <x v="0"/>
    <s v="500K Upgrade Dens Control Valves"/>
    <x v="4"/>
    <x v="0"/>
    <n v="48000"/>
    <n v="17698.63"/>
    <n v="0"/>
    <n v="33138.699999999997"/>
    <n v="50837.33"/>
    <s v="Robert"/>
    <s v="Smith"/>
    <s v="GES01"/>
    <x v="10"/>
    <x v="4"/>
    <x v="1"/>
    <x v="1"/>
    <x v="0"/>
    <x v="0"/>
    <x v="2"/>
    <x v="0"/>
    <x v="0"/>
    <x v="0"/>
    <x v="0"/>
    <x v="0"/>
    <n v="0"/>
  </r>
  <r>
    <s v="P0800542"/>
    <x v="2"/>
    <s v="IGE08006"/>
    <x v="4"/>
    <x v="0"/>
    <s v="500K Maintenance diagnostic Thermal Image Gun"/>
    <x v="4"/>
    <x v="0"/>
    <n v="16000"/>
    <n v="17880"/>
    <n v="0"/>
    <n v="0"/>
    <n v="17880"/>
    <s v="Robert"/>
    <s v="Smith"/>
    <s v="GES01"/>
    <x v="10"/>
    <x v="4"/>
    <x v="1"/>
    <x v="1"/>
    <x v="0"/>
    <x v="0"/>
    <x v="2"/>
    <x v="0"/>
    <x v="0"/>
    <x v="0"/>
    <x v="0"/>
    <x v="0"/>
    <n v="0"/>
  </r>
  <r>
    <s v="P0800543"/>
    <x v="2"/>
    <s v="IGE08006"/>
    <x v="4"/>
    <x v="0"/>
    <s v="Drier Elevator Ventilation"/>
    <x v="3"/>
    <x v="0"/>
    <n v="26378"/>
    <n v="8171.04"/>
    <n v="0"/>
    <n v="20442.7"/>
    <n v="28613.74"/>
    <s v="Richard"/>
    <s v="Jacobson"/>
    <s v="GES01"/>
    <x v="10"/>
    <x v="4"/>
    <x v="1"/>
    <x v="1"/>
    <x v="0"/>
    <x v="0"/>
    <x v="1"/>
    <x v="0"/>
    <x v="0"/>
    <x v="0"/>
    <x v="0"/>
    <x v="0"/>
    <n v="0"/>
  </r>
  <r>
    <s v="P0800544"/>
    <x v="2"/>
    <s v="IGE08026"/>
    <x v="4"/>
    <x v="0"/>
    <s v="North Shore Control System Improvements"/>
    <x v="4"/>
    <x v="0"/>
    <n v="39609"/>
    <n v="26179.23"/>
    <n v="138.96"/>
    <n v="12449"/>
    <n v="38628.230000000003"/>
    <s v="Greg"/>
    <s v="Edge"/>
    <s v="GES01"/>
    <x v="10"/>
    <x v="4"/>
    <x v="1"/>
    <x v="1"/>
    <x v="0"/>
    <x v="0"/>
    <x v="2"/>
    <x v="0"/>
    <x v="0"/>
    <x v="0"/>
    <x v="0"/>
    <x v="0"/>
    <n v="1950.56"/>
  </r>
  <r>
    <s v="P0800545"/>
    <x v="2"/>
    <s v="IPM08002"/>
    <x v="9"/>
    <x v="0"/>
    <s v="M8 PCR Transfer Screw Conveyor Replacement"/>
    <x v="1"/>
    <x v="0"/>
    <n v="13000"/>
    <n v="12289"/>
    <n v="0"/>
    <n v="0"/>
    <n v="12289"/>
    <s v="Peter"/>
    <s v="Mcgrath"/>
    <s v="PTS01"/>
    <x v="22"/>
    <x v="4"/>
    <x v="1"/>
    <x v="1"/>
    <x v="0"/>
    <x v="0"/>
    <x v="2"/>
    <x v="0"/>
    <x v="0"/>
    <x v="0"/>
    <x v="0"/>
    <x v="0"/>
    <n v="0"/>
  </r>
  <r>
    <s v="P0800546"/>
    <x v="2"/>
    <s v="INO08014"/>
    <x v="3"/>
    <x v="4"/>
    <s v="AR(C) Cairns-No2 IBC Awning Upgrade"/>
    <x v="4"/>
    <x v="0"/>
    <n v="111800"/>
    <n v="102148.42"/>
    <n v="0"/>
    <n v="8764.51"/>
    <n v="110912.93"/>
    <s v="Paul"/>
    <s v="Rylewski"/>
    <s v="FWC09"/>
    <x v="13"/>
    <x v="1"/>
    <x v="1"/>
    <x v="0"/>
    <x v="2"/>
    <x v="0"/>
    <x v="1"/>
    <x v="0"/>
    <x v="0"/>
    <x v="0"/>
    <x v="0"/>
    <x v="0"/>
    <n v="0"/>
  </r>
  <r>
    <s v="P0800547"/>
    <x v="2"/>
    <s v="IGP08008"/>
    <x v="4"/>
    <x v="4"/>
    <s v="AR (C) GE-24 Supershed 1 Structural Repairs"/>
    <x v="4"/>
    <x v="0"/>
    <n v="267000"/>
    <n v="79215.839999999997"/>
    <n v="0"/>
    <n v="152043.4"/>
    <n v="231259.24"/>
    <s v="David"/>
    <s v="Reeves"/>
    <s v="FWG02"/>
    <x v="15"/>
    <x v="4"/>
    <x v="1"/>
    <x v="0"/>
    <x v="2"/>
    <x v="0"/>
    <x v="1"/>
    <x v="0"/>
    <x v="0"/>
    <x v="0"/>
    <x v="0"/>
    <x v="0"/>
    <n v="5000"/>
  </r>
  <r>
    <s v="P0800548"/>
    <x v="2"/>
    <s v="IGE08027"/>
    <x v="4"/>
    <x v="0"/>
    <s v="Dens No. 1 Void Tower Conical Sump and Pump"/>
    <x v="4"/>
    <x v="0"/>
    <n v="374555"/>
    <n v="257304.38"/>
    <n v="-10000"/>
    <n v="53997.98"/>
    <n v="311302.36"/>
    <s v="George"/>
    <s v="Addae"/>
    <s v="GES01"/>
    <x v="10"/>
    <x v="4"/>
    <x v="1"/>
    <x v="1"/>
    <x v="0"/>
    <x v="0"/>
    <x v="2"/>
    <x v="0"/>
    <x v="0"/>
    <x v="0"/>
    <x v="0"/>
    <x v="0"/>
    <n v="46543.67"/>
  </r>
  <r>
    <s v="P0800549"/>
    <x v="7"/>
    <s v="IPI08019"/>
    <x v="1"/>
    <x v="0"/>
    <s v="River Bank Rock Wall Re-instatement"/>
    <x v="3"/>
    <x v="0"/>
    <n v="129912"/>
    <n v="43108.38"/>
    <n v="0"/>
    <n v="86636.44"/>
    <n v="129744.82"/>
    <s v="Bruce"/>
    <s v="King"/>
    <s v="PW004"/>
    <x v="16"/>
    <x v="1"/>
    <x v="1"/>
    <x v="0"/>
    <x v="2"/>
    <x v="0"/>
    <x v="1"/>
    <x v="0"/>
    <x v="0"/>
    <x v="0"/>
    <x v="0"/>
    <x v="0"/>
    <n v="0"/>
  </r>
  <r>
    <s v="P0800550"/>
    <x v="1"/>
    <s v="IGU08004"/>
    <x v="1"/>
    <x v="0"/>
    <s v="HVLV Substation No.1 New Roof"/>
    <x v="3"/>
    <x v="0"/>
    <n v="270270"/>
    <n v="214489.18"/>
    <n v="68479.61"/>
    <n v="25483"/>
    <n v="239972.18"/>
    <s v="Peter"/>
    <s v="Jones"/>
    <s v="GOU01"/>
    <x v="8"/>
    <x v="1"/>
    <x v="1"/>
    <x v="0"/>
    <x v="2"/>
    <x v="0"/>
    <x v="2"/>
    <x v="0"/>
    <x v="0"/>
    <x v="0"/>
    <x v="0"/>
    <x v="0"/>
    <n v="88020.19"/>
  </r>
  <r>
    <s v="P0800551"/>
    <x v="1"/>
    <s v="IGA08023"/>
    <x v="1"/>
    <x v="2"/>
    <s v="GG4 Engine S/N 662109 Overhaul"/>
    <x v="4"/>
    <x v="0"/>
    <n v="950000"/>
    <n v="1200309.72"/>
    <n v="0"/>
    <n v="28316.43"/>
    <n v="1228626.1499999999"/>
    <s v="Kevin"/>
    <s v="Martin"/>
    <s v="GOA01"/>
    <x v="8"/>
    <x v="1"/>
    <x v="1"/>
    <x v="1"/>
    <x v="0"/>
    <x v="0"/>
    <x v="1"/>
    <x v="0"/>
    <x v="0"/>
    <x v="0"/>
    <x v="0"/>
    <x v="0"/>
    <n v="0"/>
  </r>
  <r>
    <s v="P0800552"/>
    <x v="2"/>
    <s v="IGP08011"/>
    <x v="4"/>
    <x v="4"/>
    <s v="AR (C) GE-16 Supershed 1 Roofing Replacement"/>
    <x v="1"/>
    <x v="0"/>
    <n v="103150"/>
    <n v="87099.43"/>
    <n v="735.52"/>
    <n v="0"/>
    <n v="87099.43"/>
    <s v="David"/>
    <s v="Reeves"/>
    <s v="FWG02"/>
    <x v="15"/>
    <x v="4"/>
    <x v="1"/>
    <x v="0"/>
    <x v="2"/>
    <x v="0"/>
    <x v="1"/>
    <x v="0"/>
    <x v="0"/>
    <x v="0"/>
    <x v="0"/>
    <x v="0"/>
    <n v="6471.04"/>
  </r>
  <r>
    <s v="P0800554"/>
    <x v="2"/>
    <s v="IPD08007"/>
    <x v="9"/>
    <x v="4"/>
    <s v="AR(C)-Floor mesh - east SSP Storage shed top run"/>
    <x v="1"/>
    <x v="0"/>
    <n v="49000"/>
    <n v="19590.68"/>
    <n v="0"/>
    <n v="28340"/>
    <n v="47930.68"/>
    <s v="Peter"/>
    <s v="Mcgrath"/>
    <s v="FWP01"/>
    <x v="21"/>
    <x v="4"/>
    <x v="1"/>
    <x v="0"/>
    <x v="2"/>
    <x v="0"/>
    <x v="2"/>
    <x v="0"/>
    <x v="0"/>
    <x v="0"/>
    <x v="0"/>
    <x v="0"/>
    <n v="0"/>
  </r>
  <r>
    <s v="P0800555"/>
    <x v="2"/>
    <s v="IPM08023"/>
    <x v="9"/>
    <x v="0"/>
    <s v="Cooler Drum Bulkhead Wall replacement"/>
    <x v="1"/>
    <x v="0"/>
    <n v="39200"/>
    <n v="34650"/>
    <n v="0"/>
    <n v="0"/>
    <n v="34650"/>
    <s v="Karl"/>
    <s v="Nowakowski"/>
    <s v="PTS01"/>
    <x v="22"/>
    <x v="4"/>
    <x v="1"/>
    <x v="1"/>
    <x v="0"/>
    <x v="0"/>
    <x v="1"/>
    <x v="0"/>
    <x v="0"/>
    <x v="0"/>
    <x v="0"/>
    <x v="0"/>
    <n v="0"/>
  </r>
  <r>
    <s v="P0800557"/>
    <x v="1"/>
    <s v="IGO08008"/>
    <x v="1"/>
    <x v="0"/>
    <s v="Insulate Synthesis Gas Compressor Suction Line"/>
    <x v="2"/>
    <x v="0"/>
    <n v="48000"/>
    <n v="390"/>
    <n v="0"/>
    <n v="47016.46"/>
    <n v="47406.46"/>
    <s v="Stephen"/>
    <s v="Maule"/>
    <s v="GOA01"/>
    <x v="8"/>
    <x v="1"/>
    <x v="1"/>
    <x v="1"/>
    <x v="0"/>
    <x v="0"/>
    <x v="1"/>
    <x v="0"/>
    <x v="0"/>
    <x v="1"/>
    <x v="0"/>
    <x v="0"/>
    <n v="0"/>
  </r>
  <r>
    <s v="P0800558"/>
    <x v="2"/>
    <s v="IGE08028"/>
    <x v="4"/>
    <x v="0"/>
    <s v="PDC Sites Vero Insurance Audit"/>
    <x v="4"/>
    <x v="0"/>
    <n v="41000"/>
    <n v="44813.49"/>
    <n v="6604.73"/>
    <n v="0"/>
    <n v="44813.49"/>
    <s v="Robert"/>
    <s v="Smith"/>
    <s v="GES01"/>
    <x v="15"/>
    <x v="4"/>
    <x v="1"/>
    <x v="1"/>
    <x v="0"/>
    <x v="0"/>
    <x v="2"/>
    <x v="0"/>
    <x v="0"/>
    <x v="0"/>
    <x v="0"/>
    <x v="0"/>
    <n v="13444.73"/>
  </r>
  <r>
    <s v="P0800559"/>
    <x v="1"/>
    <s v="IGO08008"/>
    <x v="1"/>
    <x v="0"/>
    <s v="T224 Air Receiver Replacement"/>
    <x v="3"/>
    <x v="0"/>
    <n v="20000"/>
    <n v="1039.22"/>
    <n v="0"/>
    <n v="20960.78"/>
    <n v="22000"/>
    <s v="Stephen"/>
    <s v="Moon"/>
    <s v="GOG06"/>
    <x v="8"/>
    <x v="1"/>
    <x v="1"/>
    <x v="1"/>
    <x v="0"/>
    <x v="0"/>
    <x v="1"/>
    <x v="0"/>
    <x v="0"/>
    <x v="0"/>
    <x v="0"/>
    <x v="0"/>
    <n v="0"/>
  </r>
  <r>
    <s v="P0800561"/>
    <x v="7"/>
    <s v="IPI08014"/>
    <x v="1"/>
    <x v="0"/>
    <s v="Pinkenba HSC roof upgrade"/>
    <x v="4"/>
    <x v="0"/>
    <n v="49500"/>
    <n v="186.98"/>
    <n v="0"/>
    <n v="50003.7"/>
    <n v="50190.68"/>
    <s v="Garry"/>
    <s v="Doonan"/>
    <s v="PDHO2"/>
    <x v="16"/>
    <x v="1"/>
    <x v="1"/>
    <x v="0"/>
    <x v="2"/>
    <x v="0"/>
    <x v="1"/>
    <x v="0"/>
    <x v="0"/>
    <x v="0"/>
    <x v="0"/>
    <x v="0"/>
    <n v="0"/>
  </r>
  <r>
    <s v="P0800562"/>
    <x v="2"/>
    <s v="IPD08008"/>
    <x v="9"/>
    <x v="0"/>
    <s v="F08- F09 Despatch roofing replacement"/>
    <x v="1"/>
    <x v="0"/>
    <n v="250000"/>
    <n v="130440.54"/>
    <n v="0"/>
    <n v="98850"/>
    <n v="229290.54"/>
    <s v="Karl"/>
    <s v="Nowakowski"/>
    <s v="FWP01"/>
    <x v="21"/>
    <x v="4"/>
    <x v="1"/>
    <x v="0"/>
    <x v="2"/>
    <x v="0"/>
    <x v="1"/>
    <x v="0"/>
    <x v="0"/>
    <x v="0"/>
    <x v="0"/>
    <x v="0"/>
    <n v="8500"/>
  </r>
  <r>
    <s v="P0800563"/>
    <x v="2"/>
    <s v="IGP08012"/>
    <x v="4"/>
    <x v="5"/>
    <s v="Stockpile stacking site"/>
    <x v="4"/>
    <x v="0"/>
    <n v="768266"/>
    <n v="777482.7"/>
    <n v="0"/>
    <n v="0"/>
    <n v="777482.7"/>
    <s v="Gary"/>
    <s v="Bodnar"/>
    <s v="FWG02"/>
    <x v="10"/>
    <x v="4"/>
    <x v="1"/>
    <x v="1"/>
    <x v="0"/>
    <x v="0"/>
    <x v="1"/>
    <x v="0"/>
    <x v="0"/>
    <x v="0"/>
    <x v="0"/>
    <x v="0"/>
    <n v="0"/>
  </r>
  <r>
    <s v="P0800564"/>
    <x v="6"/>
    <s v="IKI08018"/>
    <x v="2"/>
    <x v="4"/>
    <s v="AR(C) KI Bagging Plant Persistence"/>
    <x v="4"/>
    <x v="0"/>
    <n v="1200000"/>
    <n v="516655.6"/>
    <n v="26066.16"/>
    <n v="83821.17"/>
    <n v="600476.77"/>
    <s v="Steven"/>
    <s v="Quigley"/>
    <s v="NFD01"/>
    <x v="12"/>
    <x v="2"/>
    <x v="1"/>
    <x v="1"/>
    <x v="0"/>
    <x v="0"/>
    <x v="2"/>
    <x v="0"/>
    <x v="0"/>
    <x v="0"/>
    <x v="0"/>
    <x v="0"/>
    <n v="89903.16"/>
  </r>
  <r>
    <s v="P0800565"/>
    <x v="2"/>
    <s v="IGE08006"/>
    <x v="4"/>
    <x v="0"/>
    <s v="Install Electronic Sliding Gate at Gate 4"/>
    <x v="3"/>
    <x v="0"/>
    <n v="55930"/>
    <n v="9860.6299999999992"/>
    <n v="2005.93"/>
    <n v="0"/>
    <n v="9860.6299999999992"/>
    <s v="Richard"/>
    <s v="Jacobson"/>
    <s v="GES01"/>
    <x v="10"/>
    <x v="4"/>
    <x v="1"/>
    <x v="0"/>
    <x v="2"/>
    <x v="0"/>
    <x v="2"/>
    <x v="0"/>
    <x v="0"/>
    <x v="0"/>
    <x v="0"/>
    <x v="0"/>
    <n v="4565.93"/>
  </r>
  <r>
    <s v="P0800566"/>
    <x v="2"/>
    <s v="IGE08006"/>
    <x v="4"/>
    <x v="0"/>
    <s v="Install Electronic Sliding Gate at Gate 8"/>
    <x v="3"/>
    <x v="0"/>
    <n v="58209"/>
    <n v="8813.2800000000007"/>
    <n v="0"/>
    <n v="0"/>
    <n v="8813.2800000000007"/>
    <s v="Richard"/>
    <s v="Jacobson"/>
    <s v="GES01"/>
    <x v="10"/>
    <x v="4"/>
    <x v="1"/>
    <x v="0"/>
    <x v="2"/>
    <x v="0"/>
    <x v="2"/>
    <x v="0"/>
    <x v="0"/>
    <x v="0"/>
    <x v="0"/>
    <x v="0"/>
    <n v="3200"/>
  </r>
  <r>
    <s v="P0800568"/>
    <x v="1"/>
    <s v="IGG08015"/>
    <x v="1"/>
    <x v="0"/>
    <s v="Cr205 &amp; CR206 Crusher Casings Upgrade"/>
    <x v="3"/>
    <x v="0"/>
    <n v="160000"/>
    <n v="-2.5099999999999998"/>
    <n v="0"/>
    <n v="167099.39000000001"/>
    <n v="167096.88"/>
    <s v="Stephen"/>
    <s v="Moon"/>
    <s v="GOG06"/>
    <x v="8"/>
    <x v="1"/>
    <x v="1"/>
    <x v="1"/>
    <x v="0"/>
    <x v="0"/>
    <x v="1"/>
    <x v="0"/>
    <x v="0"/>
    <x v="0"/>
    <x v="0"/>
    <x v="0"/>
    <n v="0"/>
  </r>
  <r>
    <s v="P0800569"/>
    <x v="1"/>
    <s v="IGA08025"/>
    <x v="1"/>
    <x v="5"/>
    <s v="NH3 Shipping Wharf Upgrade"/>
    <x v="1"/>
    <x v="0"/>
    <n v="446894"/>
    <n v="14232.95"/>
    <n v="1760"/>
    <n v="245283.95"/>
    <n v="259516.9"/>
    <s v="Khe"/>
    <s v="Tan"/>
    <s v="GOA11"/>
    <x v="8"/>
    <x v="1"/>
    <x v="1"/>
    <x v="0"/>
    <x v="2"/>
    <x v="0"/>
    <x v="2"/>
    <x v="0"/>
    <x v="0"/>
    <x v="0"/>
    <x v="0"/>
    <x v="0"/>
    <n v="-44514.41"/>
  </r>
  <r>
    <s v="P0800571"/>
    <x v="2"/>
    <s v="IPM08024"/>
    <x v="9"/>
    <x v="5"/>
    <s v="Outside Rock Storage Pad"/>
    <x v="7"/>
    <x v="0"/>
    <n v="120000"/>
    <n v="79655.039999999994"/>
    <n v="0"/>
    <n v="0"/>
    <n v="79655.039999999994"/>
    <s v="Steve"/>
    <s v="Arnel"/>
    <s v="PTSO2"/>
    <x v="22"/>
    <x v="4"/>
    <x v="1"/>
    <x v="1"/>
    <x v="0"/>
    <x v="0"/>
    <x v="2"/>
    <x v="0"/>
    <x v="0"/>
    <x v="0"/>
    <x v="0"/>
    <x v="0"/>
    <n v="0"/>
  </r>
  <r>
    <s v="P0800575"/>
    <x v="6"/>
    <s v="IKI08014"/>
    <x v="2"/>
    <x v="0"/>
    <s v="KI PDCAir Compressor"/>
    <x v="4"/>
    <x v="0"/>
    <n v="48000"/>
    <n v="42366.35"/>
    <n v="0"/>
    <n v="0"/>
    <n v="42366.35"/>
    <s v="Steven"/>
    <s v="Quigley"/>
    <s v="NFD10"/>
    <x v="12"/>
    <x v="2"/>
    <x v="1"/>
    <x v="1"/>
    <x v="0"/>
    <x v="0"/>
    <x v="2"/>
    <x v="0"/>
    <x v="0"/>
    <x v="0"/>
    <x v="0"/>
    <x v="0"/>
    <n v="0"/>
  </r>
  <r>
    <s v="P0800581"/>
    <x v="2"/>
    <s v="IPM08002"/>
    <x v="9"/>
    <x v="0"/>
    <s v="Computer Server Room Air Con Replacement."/>
    <x v="1"/>
    <x v="0"/>
    <n v="3200"/>
    <n v="-2093"/>
    <n v="0"/>
    <n v="2094"/>
    <n v="1"/>
    <s v="Karl"/>
    <s v="Nowakowski"/>
    <s v="PTA01"/>
    <x v="22"/>
    <x v="4"/>
    <x v="1"/>
    <x v="1"/>
    <x v="0"/>
    <x v="0"/>
    <x v="1"/>
    <x v="0"/>
    <x v="0"/>
    <x v="0"/>
    <x v="0"/>
    <x v="0"/>
    <n v="0"/>
  </r>
  <r>
    <s v="P0800582"/>
    <x v="2"/>
    <s v="IPM08002"/>
    <x v="9"/>
    <x v="0"/>
    <s v="Production Lunch Room Air Con Replacement."/>
    <x v="1"/>
    <x v="0"/>
    <n v="2800"/>
    <n v="-2745.4"/>
    <n v="0"/>
    <n v="2746.4"/>
    <n v="1"/>
    <s v="Karl"/>
    <s v="Nowakowski"/>
    <s v="PTS01"/>
    <x v="22"/>
    <x v="4"/>
    <x v="1"/>
    <x v="1"/>
    <x v="0"/>
    <x v="0"/>
    <x v="1"/>
    <x v="0"/>
    <x v="0"/>
    <x v="0"/>
    <x v="0"/>
    <x v="0"/>
    <n v="0"/>
  </r>
  <r>
    <s v="P0800586"/>
    <x v="2"/>
    <s v="IKI08014"/>
    <x v="2"/>
    <x v="0"/>
    <s v="Cairns- No1 Ranco service platform supports"/>
    <x v="3"/>
    <x v="0"/>
    <n v="9401"/>
    <n v="9420"/>
    <n v="0"/>
    <n v="0"/>
    <n v="9420"/>
    <s v="Paul"/>
    <s v="Rylewski"/>
    <s v="FWC11"/>
    <x v="13"/>
    <x v="1"/>
    <x v="1"/>
    <x v="1"/>
    <x v="0"/>
    <x v="0"/>
    <x v="1"/>
    <x v="0"/>
    <x v="0"/>
    <x v="0"/>
    <x v="0"/>
    <x v="0"/>
    <n v="0"/>
  </r>
  <r>
    <s v="P0800587"/>
    <x v="2"/>
    <s v="IGE08006"/>
    <x v="4"/>
    <x v="0"/>
    <s v="Nth Shore Dryer Venturi Spray Modification"/>
    <x v="7"/>
    <x v="0"/>
    <n v="40672"/>
    <n v="38442.54"/>
    <n v="0"/>
    <n v="0"/>
    <n v="38442.54"/>
    <s v="Mathew"/>
    <s v="Stowe"/>
    <s v="GES01"/>
    <x v="10"/>
    <x v="4"/>
    <x v="1"/>
    <x v="1"/>
    <x v="0"/>
    <x v="0"/>
    <x v="1"/>
    <x v="0"/>
    <x v="0"/>
    <x v="0"/>
    <x v="0"/>
    <x v="0"/>
    <n v="0"/>
  </r>
  <r>
    <s v="P0800588"/>
    <x v="1"/>
    <s v="IGO08012"/>
    <x v="1"/>
    <x v="0"/>
    <s v="Building 110 Upgrade Nitrogen Control Room"/>
    <x v="1"/>
    <x v="0"/>
    <n v="621226"/>
    <n v="243634.63"/>
    <n v="8177.69"/>
    <n v="106364.39"/>
    <n v="349999.02"/>
    <s v="Peter"/>
    <s v="Vollert"/>
    <s v="G"/>
    <x v="8"/>
    <x v="1"/>
    <x v="1"/>
    <x v="0"/>
    <x v="2"/>
    <x v="0"/>
    <x v="1"/>
    <x v="0"/>
    <x v="0"/>
    <x v="0"/>
    <x v="0"/>
    <x v="0"/>
    <n v="71063.09"/>
  </r>
  <r>
    <s v="P0800589"/>
    <x v="1"/>
    <s v="IGG08005"/>
    <x v="1"/>
    <x v="0"/>
    <s v="Granulation Plant Drainage and Waste Water"/>
    <x v="3"/>
    <x v="0"/>
    <n v="998935"/>
    <n v="770698.7"/>
    <n v="2168.42"/>
    <n v="308341.84999999998"/>
    <n v="1079040.55"/>
    <s v="Peter"/>
    <s v="Vollert"/>
    <s v="GOG06"/>
    <x v="8"/>
    <x v="1"/>
    <x v="1"/>
    <x v="1"/>
    <x v="0"/>
    <x v="0"/>
    <x v="1"/>
    <x v="0"/>
    <x v="0"/>
    <x v="0"/>
    <x v="0"/>
    <x v="0"/>
    <n v="39869.07"/>
  </r>
  <r>
    <s v="P0800590"/>
    <x v="2"/>
    <s v="IPM08017"/>
    <x v="9"/>
    <x v="4"/>
    <s v="AR(C) Mill Sly Filter Replacements."/>
    <x v="3"/>
    <x v="0"/>
    <n v="47000"/>
    <n v="46971.64"/>
    <n v="0"/>
    <n v="0"/>
    <n v="46971.64"/>
    <s v="Karl"/>
    <s v="Nowakowski"/>
    <s v="PTS01"/>
    <x v="22"/>
    <x v="4"/>
    <x v="1"/>
    <x v="1"/>
    <x v="0"/>
    <x v="0"/>
    <x v="1"/>
    <x v="0"/>
    <x v="0"/>
    <x v="0"/>
    <x v="0"/>
    <x v="0"/>
    <n v="0"/>
  </r>
  <r>
    <s v="P0900591"/>
    <x v="6"/>
    <s v="INS09001"/>
    <x v="2"/>
    <x v="5"/>
    <s v="Newcastle PDC Upgrade - New SSP Facility"/>
    <x v="2"/>
    <x v="0"/>
    <n v="14023347"/>
    <m/>
    <n v="-1071879.53"/>
    <m/>
    <m/>
    <s v="Dave "/>
    <s v="Rowbottom"/>
    <s v="NFD06"/>
    <x v="12"/>
    <x v="2"/>
    <x v="0"/>
    <x v="5"/>
    <x v="5"/>
    <x v="0"/>
    <x v="2"/>
    <x v="1"/>
    <x v="0"/>
    <x v="1"/>
    <x v="1"/>
    <x v="1"/>
    <n v="-1070799.53"/>
  </r>
  <r>
    <s v="P0900592"/>
    <x v="2"/>
    <s v="ISO09001.10"/>
    <x v="7"/>
    <x v="0"/>
    <s v="Cairns-Labeller printer"/>
    <x v="3"/>
    <x v="0"/>
    <n v="2930"/>
    <n v="2963"/>
    <n v="0"/>
    <n v="0"/>
    <n v="2963"/>
    <s v="Paul"/>
    <s v="Rylewski"/>
    <s v="FWC09"/>
    <x v="13"/>
    <x v="1"/>
    <x v="1"/>
    <x v="1"/>
    <x v="0"/>
    <x v="0"/>
    <x v="1"/>
    <x v="1"/>
    <x v="0"/>
    <x v="0"/>
    <x v="0"/>
    <x v="1"/>
    <n v="0"/>
  </r>
  <r>
    <s v="P0900593"/>
    <x v="5"/>
    <s v="IFI09001"/>
    <x v="5"/>
    <x v="7"/>
    <s v="BCS - Group Financial Consolidation"/>
    <x v="10"/>
    <x v="0"/>
    <n v="100000"/>
    <n v="75200.240000000005"/>
    <n v="2561.12"/>
    <n v="0"/>
    <n v="75200.240000000005"/>
    <s v="Nick"/>
    <s v="Stratford"/>
    <s v="ZF002"/>
    <x v="23"/>
    <x v="4"/>
    <x v="1"/>
    <x v="1"/>
    <x v="0"/>
    <x v="0"/>
    <x v="2"/>
    <x v="1"/>
    <x v="0"/>
    <x v="0"/>
    <x v="0"/>
    <x v="1"/>
    <n v="2561.12"/>
  </r>
  <r>
    <s v="P0900594"/>
    <x v="2"/>
    <s v="IGE09002.10"/>
    <x v="4"/>
    <x v="0"/>
    <s v="Sand Hopper Modifications"/>
    <x v="7"/>
    <x v="0"/>
    <n v="26520"/>
    <n v="18826.580000000002"/>
    <n v="0"/>
    <n v="0"/>
    <n v="18826.580000000002"/>
    <s v="Raffaele"/>
    <s v="D'Agostino"/>
    <s v="GES01"/>
    <x v="10"/>
    <x v="4"/>
    <x v="1"/>
    <x v="1"/>
    <x v="0"/>
    <x v="0"/>
    <x v="2"/>
    <x v="1"/>
    <x v="0"/>
    <x v="0"/>
    <x v="0"/>
    <x v="1"/>
    <n v="0"/>
  </r>
  <r>
    <s v="P0900595"/>
    <x v="2"/>
    <s v="IGE09001"/>
    <x v="4"/>
    <x v="0"/>
    <s v="Hygiene Liquor Feed to Dens Mixer Head Tank"/>
    <x v="4"/>
    <x v="0"/>
    <n v="74660"/>
    <n v="81435.41"/>
    <n v="0"/>
    <n v="0"/>
    <n v="81435.41"/>
    <s v="Steve"/>
    <s v="Agiejew"/>
    <s v="GES01"/>
    <x v="10"/>
    <x v="4"/>
    <x v="1"/>
    <x v="1"/>
    <x v="0"/>
    <x v="0"/>
    <x v="1"/>
    <x v="1"/>
    <x v="0"/>
    <x v="0"/>
    <x v="0"/>
    <x v="1"/>
    <n v="735.52"/>
  </r>
  <r>
    <s v="P0900596"/>
    <x v="2"/>
    <s v="ISO09001.20"/>
    <x v="7"/>
    <x v="0"/>
    <s v="Site floors stairs upgrade"/>
    <x v="3"/>
    <x v="0"/>
    <n v="11959"/>
    <n v="12310.92"/>
    <n v="0"/>
    <n v="0"/>
    <n v="12310.92"/>
    <s v="Paul"/>
    <s v="Rylewski"/>
    <s v="FWC12"/>
    <x v="13"/>
    <x v="1"/>
    <x v="1"/>
    <x v="1"/>
    <x v="0"/>
    <x v="0"/>
    <x v="1"/>
    <x v="1"/>
    <x v="0"/>
    <x v="0"/>
    <x v="0"/>
    <x v="1"/>
    <n v="0"/>
  </r>
  <r>
    <s v="P0900597"/>
    <x v="2"/>
    <s v="IGE09002.20"/>
    <x v="4"/>
    <x v="0"/>
    <s v="Redesign Oversize Screens to Mill Chute"/>
    <x v="4"/>
    <x v="0"/>
    <n v="48100"/>
    <n v="51031.53"/>
    <n v="0"/>
    <n v="0"/>
    <n v="51031.53"/>
    <s v="Andrew"/>
    <s v="Lebreton"/>
    <s v="GES01"/>
    <x v="10"/>
    <x v="4"/>
    <x v="1"/>
    <x v="1"/>
    <x v="0"/>
    <x v="0"/>
    <x v="1"/>
    <x v="1"/>
    <x v="0"/>
    <x v="0"/>
    <x v="0"/>
    <x v="1"/>
    <n v="0"/>
  </r>
  <r>
    <s v="P0900598"/>
    <x v="2"/>
    <s v="IN009007"/>
    <x v="3"/>
    <x v="4"/>
    <s v="AR(C) Cairns-No1 unit structural beams"/>
    <x v="1"/>
    <x v="0"/>
    <n v="62500"/>
    <n v="32550"/>
    <n v="14870"/>
    <n v="0"/>
    <n v="32550"/>
    <s v="Paul"/>
    <s v="Rylewski"/>
    <s v="FWC09"/>
    <x v="13"/>
    <x v="1"/>
    <x v="1"/>
    <x v="0"/>
    <x v="2"/>
    <x v="0"/>
    <x v="2"/>
    <x v="1"/>
    <x v="0"/>
    <x v="0"/>
    <x v="0"/>
    <x v="1"/>
    <n v="20280"/>
  </r>
  <r>
    <s v="P0900599"/>
    <x v="1"/>
    <s v="IGI09003"/>
    <x v="1"/>
    <x v="4"/>
    <s v="AR(C) Product Distribution Centre Asset Renewal"/>
    <x v="4"/>
    <x v="0"/>
    <n v="935000"/>
    <n v="971149.52"/>
    <n v="307163.94"/>
    <n v="0"/>
    <n v="971149.52"/>
    <s v="Bruce"/>
    <s v="King"/>
    <s v="GD012"/>
    <x v="8"/>
    <x v="1"/>
    <x v="1"/>
    <x v="0"/>
    <x v="2"/>
    <x v="0"/>
    <x v="2"/>
    <x v="1"/>
    <x v="0"/>
    <x v="0"/>
    <x v="0"/>
    <x v="1"/>
    <n v="687931.66"/>
  </r>
  <r>
    <s v="P0900600"/>
    <x v="1"/>
    <s v="IGA09004"/>
    <x v="1"/>
    <x v="0"/>
    <s v="Process Condensate Stripping"/>
    <x v="1"/>
    <x v="0"/>
    <n v="347000"/>
    <n v="258489.77"/>
    <n v="7460.98"/>
    <n v="0"/>
    <n v="258489.77"/>
    <s v="Venkat"/>
    <s v="Pattabathula"/>
    <s v="GOA01"/>
    <x v="8"/>
    <x v="1"/>
    <x v="1"/>
    <x v="1"/>
    <x v="0"/>
    <x v="0"/>
    <x v="2"/>
    <x v="1"/>
    <x v="0"/>
    <x v="0"/>
    <x v="0"/>
    <x v="1"/>
    <n v="-170187.56"/>
  </r>
  <r>
    <s v="P0900601"/>
    <x v="1"/>
    <s v="IGC09001"/>
    <x v="1"/>
    <x v="5"/>
    <s v="Installation of 6th CO2 Compressor"/>
    <x v="2"/>
    <x v="0"/>
    <n v="139266"/>
    <n v="137587.76999999999"/>
    <n v="8082.4"/>
    <n v="0"/>
    <n v="137587.76999999999"/>
    <s v="Rolf"/>
    <s v="Vollert"/>
    <s v="GOC01"/>
    <x v="8"/>
    <x v="1"/>
    <x v="1"/>
    <x v="1"/>
    <x v="0"/>
    <x v="0"/>
    <x v="1"/>
    <x v="1"/>
    <x v="0"/>
    <x v="1"/>
    <x v="0"/>
    <x v="1"/>
    <n v="14745.9"/>
  </r>
  <r>
    <s v="P0900602"/>
    <x v="1"/>
    <s v="IGO09001"/>
    <x v="1"/>
    <x v="0"/>
    <s v="Stormwater Management Stage 2 Phase b"/>
    <x v="3"/>
    <x v="0"/>
    <n v="907498"/>
    <n v="894878.86"/>
    <n v="543365.17000000004"/>
    <n v="0"/>
    <n v="894878.86"/>
    <s v="Peter"/>
    <s v="Vollert"/>
    <s v="GW001"/>
    <x v="8"/>
    <x v="1"/>
    <x v="1"/>
    <x v="1"/>
    <x v="0"/>
    <x v="0"/>
    <x v="2"/>
    <x v="1"/>
    <x v="0"/>
    <x v="0"/>
    <x v="0"/>
    <x v="1"/>
    <n v="548981.27"/>
  </r>
  <r>
    <s v="P0900603"/>
    <x v="2"/>
    <s v="IGE09004"/>
    <x v="4"/>
    <x v="0"/>
    <s v="Dens Belt No.1 Upper Replacement Nov 2008"/>
    <x v="1"/>
    <x v="0"/>
    <n v="183159"/>
    <n v="189890.2"/>
    <n v="0"/>
    <n v="0"/>
    <n v="189890.2"/>
    <s v="David"/>
    <s v="Reeves"/>
    <s v="GES01"/>
    <x v="10"/>
    <x v="4"/>
    <x v="1"/>
    <x v="1"/>
    <x v="0"/>
    <x v="0"/>
    <x v="1"/>
    <x v="1"/>
    <x v="0"/>
    <x v="0"/>
    <x v="0"/>
    <x v="1"/>
    <n v="0"/>
  </r>
  <r>
    <s v="P0900604"/>
    <x v="1"/>
    <s v="IGO09004.10"/>
    <x v="1"/>
    <x v="0"/>
    <s v="Safety Shower and Eye Wash"/>
    <x v="3"/>
    <x v="0"/>
    <n v="8500"/>
    <n v="8662.76"/>
    <n v="0"/>
    <n v="0"/>
    <n v="8662.76"/>
    <s v="Peter"/>
    <s v="Cleary"/>
    <s v="GOA01"/>
    <x v="8"/>
    <x v="1"/>
    <x v="1"/>
    <x v="1"/>
    <x v="0"/>
    <x v="0"/>
    <x v="1"/>
    <x v="1"/>
    <x v="0"/>
    <x v="0"/>
    <x v="0"/>
    <x v="1"/>
    <n v="0"/>
  </r>
  <r>
    <s v="P0900606"/>
    <x v="6"/>
    <s v="ISO09001.30"/>
    <x v="7"/>
    <x v="0"/>
    <s v="Installation of SAP Printers at the KI RBLO"/>
    <x v="4"/>
    <x v="0"/>
    <n v="14500"/>
    <n v="8400"/>
    <n v="0"/>
    <n v="0"/>
    <n v="8400"/>
    <s v="Steven"/>
    <s v="Quigley"/>
    <s v="NFD04"/>
    <x v="12"/>
    <x v="2"/>
    <x v="1"/>
    <x v="1"/>
    <x v="0"/>
    <x v="0"/>
    <x v="2"/>
    <x v="1"/>
    <x v="0"/>
    <x v="0"/>
    <x v="0"/>
    <x v="1"/>
    <n v="0"/>
  </r>
  <r>
    <s v="P0900607"/>
    <x v="1"/>
    <s v="IGO09004.20"/>
    <x v="1"/>
    <x v="0"/>
    <s v="Slip-Resistant Ladder Rung Covers"/>
    <x v="3"/>
    <x v="0"/>
    <n v="10000"/>
    <n v="9237.4"/>
    <n v="0"/>
    <n v="0"/>
    <n v="9237.4"/>
    <s v="Peter"/>
    <s v="Cleary"/>
    <s v="GOA01"/>
    <x v="8"/>
    <x v="1"/>
    <x v="1"/>
    <x v="1"/>
    <x v="0"/>
    <x v="0"/>
    <x v="2"/>
    <x v="1"/>
    <x v="0"/>
    <x v="0"/>
    <x v="0"/>
    <x v="1"/>
    <n v="0"/>
  </r>
  <r>
    <s v="P0900608"/>
    <x v="1"/>
    <s v="IGU09004"/>
    <x v="1"/>
    <x v="0"/>
    <s v="DP508 Fire Pump Environmental Modifications"/>
    <x v="3"/>
    <x v="0"/>
    <n v="38500"/>
    <n v="30574.560000000001"/>
    <n v="7895"/>
    <n v="0"/>
    <n v="30574.560000000001"/>
    <s v="Jordan"/>
    <s v="Blackmur"/>
    <s v="GOU01"/>
    <x v="8"/>
    <x v="1"/>
    <x v="1"/>
    <x v="1"/>
    <x v="0"/>
    <x v="0"/>
    <x v="2"/>
    <x v="1"/>
    <x v="0"/>
    <x v="0"/>
    <x v="0"/>
    <x v="1"/>
    <n v="8168.7"/>
  </r>
  <r>
    <s v="P0900609"/>
    <x v="1"/>
    <s v="IGA09008"/>
    <x v="1"/>
    <x v="0"/>
    <s v="TR503 Transformer Upgrade for Reliability"/>
    <x v="4"/>
    <x v="0"/>
    <n v="79800"/>
    <n v="80118.460000000006"/>
    <n v="0"/>
    <n v="0"/>
    <n v="80118.460000000006"/>
    <s v="Peter"/>
    <s v="Jones"/>
    <s v="GOA01"/>
    <x v="8"/>
    <x v="1"/>
    <x v="1"/>
    <x v="1"/>
    <x v="0"/>
    <x v="0"/>
    <x v="1"/>
    <x v="1"/>
    <x v="0"/>
    <x v="0"/>
    <x v="0"/>
    <x v="1"/>
    <n v="0"/>
  </r>
  <r>
    <s v="P0900610"/>
    <x v="1"/>
    <s v="IGU09003"/>
    <x v="1"/>
    <x v="0"/>
    <s v="TR501 Transformer Refurbishment"/>
    <x v="4"/>
    <x v="0"/>
    <n v="68200"/>
    <n v="65232.63"/>
    <n v="0"/>
    <n v="0"/>
    <n v="65232.63"/>
    <s v="Peter"/>
    <s v="Jones"/>
    <s v="GOU01"/>
    <x v="8"/>
    <x v="1"/>
    <x v="1"/>
    <x v="1"/>
    <x v="0"/>
    <x v="0"/>
    <x v="1"/>
    <x v="1"/>
    <x v="0"/>
    <x v="0"/>
    <x v="0"/>
    <x v="1"/>
    <n v="0"/>
  </r>
  <r>
    <s v="P0900611"/>
    <x v="2"/>
    <s v="INO09011"/>
    <x v="3"/>
    <x v="4"/>
    <s v="AR(C) Cairns-No2 Elevator Access Platform"/>
    <x v="3"/>
    <x v="0"/>
    <n v="36900"/>
    <n v="33513"/>
    <n v="15808"/>
    <n v="0"/>
    <n v="33513"/>
    <s v="Paul"/>
    <s v="Rylewski"/>
    <s v="FWC12"/>
    <x v="13"/>
    <x v="1"/>
    <x v="1"/>
    <x v="1"/>
    <x v="0"/>
    <x v="0"/>
    <x v="2"/>
    <x v="1"/>
    <x v="0"/>
    <x v="0"/>
    <x v="0"/>
    <x v="1"/>
    <n v="25313"/>
  </r>
  <r>
    <s v="P0900612"/>
    <x v="1"/>
    <s v="IGA09001"/>
    <x v="1"/>
    <x v="0"/>
    <s v="T301 Vacuum Protection Upgrade"/>
    <x v="3"/>
    <x v="0"/>
    <n v="659028"/>
    <n v="363544.03"/>
    <n v="34693.410000000003"/>
    <n v="0"/>
    <n v="363544.03"/>
    <s v="Khe"/>
    <s v="Tan"/>
    <s v="GOA11"/>
    <x v="8"/>
    <x v="1"/>
    <x v="1"/>
    <x v="1"/>
    <x v="0"/>
    <x v="0"/>
    <x v="2"/>
    <x v="1"/>
    <x v="0"/>
    <x v="0"/>
    <x v="0"/>
    <x v="1"/>
    <n v="159281.14000000001"/>
  </r>
  <r>
    <s v="P0900614"/>
    <x v="1"/>
    <s v="IGA09003"/>
    <x v="1"/>
    <x v="0"/>
    <s v="T301 WATER ADDITION"/>
    <x v="3"/>
    <x v="0"/>
    <n v="155000"/>
    <n v="96855.44"/>
    <n v="3582.54"/>
    <n v="0"/>
    <n v="96855.44"/>
    <s v="Rolf"/>
    <s v="Vollert"/>
    <s v="GOA01"/>
    <x v="8"/>
    <x v="1"/>
    <x v="1"/>
    <x v="1"/>
    <x v="0"/>
    <x v="0"/>
    <x v="2"/>
    <x v="1"/>
    <x v="0"/>
    <x v="0"/>
    <x v="0"/>
    <x v="1"/>
    <n v="10200.209999999999"/>
  </r>
  <r>
    <s v="P0900615"/>
    <x v="9"/>
    <s v="STO09002"/>
    <x v="3"/>
    <x v="0"/>
    <s v="Townsville Port Sulphur Compliance - Stage 1"/>
    <x v="3"/>
    <x v="0"/>
    <n v="199839"/>
    <n v="108094.79"/>
    <n v="0"/>
    <n v="0"/>
    <n v="108094.79"/>
    <s v="David"/>
    <s v="Dillon"/>
    <s v="STD04"/>
    <x v="13"/>
    <x v="1"/>
    <x v="1"/>
    <x v="1"/>
    <x v="0"/>
    <x v="0"/>
    <x v="2"/>
    <x v="1"/>
    <x v="0"/>
    <x v="0"/>
    <x v="0"/>
    <x v="1"/>
    <n v="19687.5"/>
  </r>
  <r>
    <s v="P0900617"/>
    <x v="1"/>
    <s v="IGU09005"/>
    <x v="1"/>
    <x v="0"/>
    <s v="SCR/USol Solution Plant Upgrade Phase 1"/>
    <x v="3"/>
    <x v="0"/>
    <n v="136000"/>
    <n v="139305.97"/>
    <n v="4214"/>
    <n v="0"/>
    <n v="139305.97"/>
    <s v="Grant"/>
    <s v="Lawler"/>
    <s v="GOU01"/>
    <x v="8"/>
    <x v="1"/>
    <x v="1"/>
    <x v="1"/>
    <x v="0"/>
    <x v="0"/>
    <x v="2"/>
    <x v="1"/>
    <x v="0"/>
    <x v="0"/>
    <x v="0"/>
    <x v="1"/>
    <n v="6428.76"/>
  </r>
  <r>
    <s v="P0900618"/>
    <x v="2"/>
    <s v="INO09003"/>
    <x v="3"/>
    <x v="0"/>
    <s v="Cairns-No2 Unit Elevator Upgrade"/>
    <x v="4"/>
    <x v="0"/>
    <n v="196400"/>
    <n v="180316.7"/>
    <n v="5144.29"/>
    <n v="0"/>
    <n v="180316.7"/>
    <s v="Paul"/>
    <s v="Rylewski"/>
    <s v="FWC12"/>
    <x v="13"/>
    <x v="1"/>
    <x v="1"/>
    <x v="1"/>
    <x v="0"/>
    <x v="0"/>
    <x v="2"/>
    <x v="1"/>
    <x v="0"/>
    <x v="0"/>
    <x v="0"/>
    <x v="1"/>
    <n v="66958.600000000006"/>
  </r>
  <r>
    <s v="P0900619"/>
    <x v="1"/>
    <s v="IGO09004.30"/>
    <x v="1"/>
    <x v="0"/>
    <s v="Safety Shower Replacement"/>
    <x v="3"/>
    <x v="0"/>
    <n v="18263"/>
    <n v="18966.48"/>
    <n v="0"/>
    <n v="0"/>
    <n v="18966.48"/>
    <s v="Jordan"/>
    <s v="Blackmur"/>
    <s v="GOU01"/>
    <x v="8"/>
    <x v="1"/>
    <x v="1"/>
    <x v="1"/>
    <x v="0"/>
    <x v="0"/>
    <x v="1"/>
    <x v="1"/>
    <x v="0"/>
    <x v="0"/>
    <x v="0"/>
    <x v="1"/>
    <n v="0"/>
  </r>
  <r>
    <s v="P0900621"/>
    <x v="1"/>
    <s v="IGU09006"/>
    <x v="1"/>
    <x v="0"/>
    <s v="SCR Urea Upgrade"/>
    <x v="8"/>
    <x v="0"/>
    <n v="104880"/>
    <n v="74965.88"/>
    <n v="2833.5"/>
    <n v="0"/>
    <n v="74965.88"/>
    <s v="Stephen"/>
    <s v="Maule"/>
    <s v="GOU01"/>
    <x v="8"/>
    <x v="1"/>
    <x v="1"/>
    <x v="1"/>
    <x v="0"/>
    <x v="0"/>
    <x v="2"/>
    <x v="1"/>
    <x v="0"/>
    <x v="1"/>
    <x v="0"/>
    <x v="1"/>
    <n v="20883.34"/>
  </r>
  <r>
    <s v="P0900623"/>
    <x v="5"/>
    <s v="IFI09002"/>
    <x v="5"/>
    <x v="7"/>
    <s v="Treasury Software"/>
    <x v="5"/>
    <x v="0"/>
    <n v="60000"/>
    <n v="40000"/>
    <n v="0"/>
    <n v="0"/>
    <n v="40000"/>
    <s v="Kate"/>
    <s v="Sheldon"/>
    <s v="ZF011"/>
    <x v="24"/>
    <x v="4"/>
    <x v="1"/>
    <x v="1"/>
    <x v="0"/>
    <x v="0"/>
    <x v="2"/>
    <x v="1"/>
    <x v="0"/>
    <x v="0"/>
    <x v="0"/>
    <x v="1"/>
    <n v="0"/>
  </r>
  <r>
    <s v="P0900624"/>
    <x v="2"/>
    <s v="INO09001"/>
    <x v="3"/>
    <x v="0"/>
    <s v="Townsville IBC Blender refurbishment"/>
    <x v="3"/>
    <x v="0"/>
    <n v="859630"/>
    <n v="854380.35"/>
    <n v="22701.7"/>
    <n v="0"/>
    <n v="854380.35"/>
    <s v="David"/>
    <s v="Collins"/>
    <s v="FWT02"/>
    <x v="13"/>
    <x v="1"/>
    <x v="1"/>
    <x v="1"/>
    <x v="0"/>
    <x v="0"/>
    <x v="2"/>
    <x v="1"/>
    <x v="0"/>
    <x v="0"/>
    <x v="0"/>
    <x v="1"/>
    <n v="31012.240000000002"/>
  </r>
  <r>
    <s v="P0900625"/>
    <x v="2"/>
    <s v="ICM09001"/>
    <x v="10"/>
    <x v="7"/>
    <s v="Technical Upgrade for B2B Adaptor"/>
    <x v="10"/>
    <x v="0"/>
    <n v="21000"/>
    <n v="14560"/>
    <n v="0"/>
    <n v="0"/>
    <n v="14560"/>
    <s v="Paul"/>
    <s v="O'connor"/>
    <s v="FRD05"/>
    <x v="25"/>
    <x v="1"/>
    <x v="1"/>
    <x v="1"/>
    <x v="0"/>
    <x v="0"/>
    <x v="2"/>
    <x v="1"/>
    <x v="0"/>
    <x v="0"/>
    <x v="0"/>
    <x v="1"/>
    <n v="7280"/>
  </r>
  <r>
    <s v="P0900627"/>
    <x v="5"/>
    <s v="IFI09003"/>
    <x v="5"/>
    <x v="7"/>
    <s v="Cognos upgrade from 7.3 to 8.3"/>
    <x v="10"/>
    <x v="0"/>
    <n v="6600"/>
    <n v="6600"/>
    <n v="0"/>
    <n v="0"/>
    <n v="6600"/>
    <s v="Igor"/>
    <s v="Prgomet"/>
    <s v="ZF002"/>
    <x v="23"/>
    <x v="4"/>
    <x v="1"/>
    <x v="1"/>
    <x v="0"/>
    <x v="0"/>
    <x v="2"/>
    <x v="1"/>
    <x v="0"/>
    <x v="0"/>
    <x v="0"/>
    <x v="1"/>
    <n v="0"/>
  </r>
  <r>
    <s v="P0900628"/>
    <x v="2"/>
    <s v="ISO09001.50"/>
    <x v="7"/>
    <x v="0"/>
    <s v="Mackay - Upgrade Site Air Compressor"/>
    <x v="1"/>
    <x v="0"/>
    <n v="24035"/>
    <n v="24035"/>
    <n v="0"/>
    <n v="0"/>
    <n v="24035"/>
    <s v="Ray"/>
    <s v="Gofton"/>
    <s v="FWM08"/>
    <x v="13"/>
    <x v="1"/>
    <x v="1"/>
    <x v="1"/>
    <x v="0"/>
    <x v="0"/>
    <x v="1"/>
    <x v="1"/>
    <x v="0"/>
    <x v="0"/>
    <x v="0"/>
    <x v="1"/>
    <n v="6525"/>
  </r>
  <r>
    <s v="P0900629"/>
    <x v="1"/>
    <s v="IGA09009"/>
    <x v="1"/>
    <x v="0"/>
    <s v="Ammonia Analyser for Buffer Pond and Oxipond"/>
    <x v="3"/>
    <x v="0"/>
    <n v="134736"/>
    <n v="78514.02"/>
    <n v="0"/>
    <n v="0"/>
    <n v="78514.02"/>
    <s v="Peter"/>
    <s v="Jones"/>
    <s v="GOA01"/>
    <x v="8"/>
    <x v="1"/>
    <x v="1"/>
    <x v="1"/>
    <x v="0"/>
    <x v="0"/>
    <x v="1"/>
    <x v="1"/>
    <x v="0"/>
    <x v="0"/>
    <x v="0"/>
    <x v="1"/>
    <n v="3620.57"/>
  </r>
  <r>
    <s v="P0900631"/>
    <x v="2"/>
    <s v="ISO09009"/>
    <x v="7"/>
    <x v="4"/>
    <s v="AR (C) Devonport Asset Renewal"/>
    <x v="1"/>
    <x v="0"/>
    <n v="180000"/>
    <n v="150557.49"/>
    <n v="94284.64"/>
    <n v="0"/>
    <n v="150557.49"/>
    <s v="Gary"/>
    <s v="Bodnar"/>
    <s v="FWD03"/>
    <x v="26"/>
    <x v="5"/>
    <x v="1"/>
    <x v="1"/>
    <x v="0"/>
    <x v="0"/>
    <x v="2"/>
    <x v="1"/>
    <x v="0"/>
    <x v="0"/>
    <x v="0"/>
    <x v="1"/>
    <n v="143447.49"/>
  </r>
  <r>
    <s v="P0900632"/>
    <x v="5"/>
    <s v="IFI09004"/>
    <x v="5"/>
    <x v="7"/>
    <s v="CR017 BIS Expense Management"/>
    <x v="5"/>
    <x v="0"/>
    <n v="11814"/>
    <n v="8055"/>
    <n v="0"/>
    <n v="0"/>
    <n v="8055"/>
    <s v="Vanessa"/>
    <s v="Karaoulis"/>
    <s v="ZF002"/>
    <x v="23"/>
    <x v="4"/>
    <x v="1"/>
    <x v="1"/>
    <x v="0"/>
    <x v="0"/>
    <x v="2"/>
    <x v="1"/>
    <x v="0"/>
    <x v="0"/>
    <x v="0"/>
    <x v="1"/>
    <n v="0"/>
  </r>
  <r>
    <s v="P0900633"/>
    <x v="1"/>
    <s v="IGA09010"/>
    <x v="1"/>
    <x v="0"/>
    <s v="Reinstate Two Cathodic Protection Systems"/>
    <x v="4"/>
    <x v="0"/>
    <n v="146000"/>
    <n v="7543.6"/>
    <n v="350.6"/>
    <n v="0"/>
    <n v="7543.6"/>
    <s v="Peter"/>
    <s v="Cleary"/>
    <s v="GOA01"/>
    <x v="8"/>
    <x v="1"/>
    <x v="1"/>
    <x v="1"/>
    <x v="0"/>
    <x v="0"/>
    <x v="2"/>
    <x v="1"/>
    <x v="0"/>
    <x v="0"/>
    <x v="0"/>
    <x v="1"/>
    <n v="7027.6"/>
  </r>
  <r>
    <s v="P0900634"/>
    <x v="1"/>
    <s v="IGO09004.40"/>
    <x v="1"/>
    <x v="0"/>
    <s v="High pressure sealant injection gun"/>
    <x v="9"/>
    <x v="0"/>
    <n v="2000"/>
    <n v="1880.41"/>
    <n v="0"/>
    <n v="0"/>
    <n v="1880.41"/>
    <s v="Con"/>
    <s v="Lamari"/>
    <s v="GOA01"/>
    <x v="8"/>
    <x v="1"/>
    <x v="1"/>
    <x v="1"/>
    <x v="0"/>
    <x v="0"/>
    <x v="1"/>
    <x v="1"/>
    <x v="0"/>
    <x v="0"/>
    <x v="0"/>
    <x v="1"/>
    <n v="257.41000000000003"/>
  </r>
  <r>
    <s v="P0900637"/>
    <x v="5"/>
    <s v="IFI09005"/>
    <x v="5"/>
    <x v="7"/>
    <s v="Solarwinds Orion Network Performance Monitor"/>
    <x v="9"/>
    <x v="0"/>
    <n v="41000"/>
    <n v="37908.519999999997"/>
    <n v="0"/>
    <n v="0"/>
    <n v="37908.519999999997"/>
    <s v="Fiona"/>
    <s v="Foley"/>
    <s v="ZI003"/>
    <x v="11"/>
    <x v="4"/>
    <x v="1"/>
    <x v="1"/>
    <x v="0"/>
    <x v="0"/>
    <x v="1"/>
    <x v="1"/>
    <x v="0"/>
    <x v="0"/>
    <x v="0"/>
    <x v="1"/>
    <n v="37908.519999999997"/>
  </r>
  <r>
    <s v="P0900638"/>
    <x v="1"/>
    <s v="IGC09002"/>
    <x v="1"/>
    <x v="0"/>
    <s v="CO2 &amp; Utilities Vehicle Collision Barriers"/>
    <x v="3"/>
    <x v="0"/>
    <n v="15941"/>
    <n v="15941"/>
    <n v="0"/>
    <n v="0"/>
    <n v="15941"/>
    <s v="Grant"/>
    <s v="Lawler"/>
    <s v="GOC01"/>
    <x v="8"/>
    <x v="1"/>
    <x v="1"/>
    <x v="1"/>
    <x v="0"/>
    <x v="0"/>
    <x v="1"/>
    <x v="1"/>
    <x v="0"/>
    <x v="0"/>
    <x v="0"/>
    <x v="1"/>
    <n v="0"/>
  </r>
  <r>
    <s v="P0900639"/>
    <x v="1"/>
    <s v="IGA09011"/>
    <x v="1"/>
    <x v="0"/>
    <s v="Five Portable Atmosphere Monitors"/>
    <x v="3"/>
    <x v="0"/>
    <n v="7000"/>
    <n v="6818"/>
    <n v="0"/>
    <n v="0"/>
    <n v="6818"/>
    <s v="Peter"/>
    <s v="Cleary"/>
    <s v="GOA01"/>
    <x v="8"/>
    <x v="1"/>
    <x v="1"/>
    <x v="1"/>
    <x v="0"/>
    <x v="0"/>
    <x v="1"/>
    <x v="1"/>
    <x v="0"/>
    <x v="0"/>
    <x v="0"/>
    <x v="1"/>
    <n v="0"/>
  </r>
  <r>
    <s v="P0900640"/>
    <x v="1"/>
    <s v="IGI09004"/>
    <x v="1"/>
    <x v="0"/>
    <s v="CEP GI PDC Wharf Building - Ammonia Loadout"/>
    <x v="11"/>
    <x v="0"/>
    <n v="9900"/>
    <n v="10890"/>
    <n v="69.23"/>
    <n v="0"/>
    <n v="10890"/>
    <s v="Andy"/>
    <s v="Roscher"/>
    <s v="GD010"/>
    <x v="8"/>
    <x v="1"/>
    <x v="1"/>
    <x v="1"/>
    <x v="0"/>
    <x v="0"/>
    <x v="1"/>
    <x v="1"/>
    <x v="0"/>
    <x v="0"/>
    <x v="0"/>
    <x v="1"/>
    <n v="7203.5"/>
  </r>
  <r>
    <s v="P0900641"/>
    <x v="1"/>
    <s v="IGO09009"/>
    <x v="1"/>
    <x v="5"/>
    <s v="Phase 1 - Gibson Island Head office Upgrade"/>
    <x v="11"/>
    <x v="0"/>
    <n v="303600"/>
    <n v="317795.92"/>
    <n v="2730"/>
    <n v="0"/>
    <n v="317795.92"/>
    <s v="Anthony"/>
    <s v="Galloway"/>
    <s v="GW001"/>
    <x v="8"/>
    <x v="1"/>
    <x v="1"/>
    <x v="0"/>
    <x v="2"/>
    <x v="0"/>
    <x v="1"/>
    <x v="1"/>
    <x v="0"/>
    <x v="0"/>
    <x v="0"/>
    <x v="1"/>
    <n v="317795.92"/>
  </r>
  <r>
    <s v="P0900644"/>
    <x v="1"/>
    <s v="IGO09004.50"/>
    <x v="1"/>
    <x v="0"/>
    <s v="GIbson Island Fire Equipment Replacement"/>
    <x v="3"/>
    <x v="0"/>
    <n v="58400"/>
    <n v="64320.53"/>
    <n v="24517.08"/>
    <n v="0"/>
    <n v="64320.53"/>
    <s v="Peter"/>
    <s v="Jones"/>
    <s v="GW001"/>
    <x v="8"/>
    <x v="1"/>
    <x v="1"/>
    <x v="1"/>
    <x v="0"/>
    <x v="0"/>
    <x v="1"/>
    <x v="1"/>
    <x v="0"/>
    <x v="0"/>
    <x v="0"/>
    <x v="1"/>
    <n v="64320.53"/>
  </r>
  <r>
    <s v="P0900645"/>
    <x v="1"/>
    <s v="IGG09001"/>
    <x v="1"/>
    <x v="4"/>
    <s v="AR(C) Granulation Plant Asset Renewal"/>
    <x v="4"/>
    <x v="0"/>
    <n v="209451"/>
    <n v="221619.96"/>
    <n v="1080"/>
    <n v="0"/>
    <n v="221619.96"/>
    <s v="Bruce"/>
    <s v="King"/>
    <s v="GOG06"/>
    <x v="8"/>
    <x v="1"/>
    <x v="1"/>
    <x v="0"/>
    <x v="2"/>
    <x v="0"/>
    <x v="2"/>
    <x v="1"/>
    <x v="0"/>
    <x v="0"/>
    <x v="0"/>
    <x v="1"/>
    <n v="221619.96"/>
  </r>
  <r>
    <s v="P0900646"/>
    <x v="3"/>
    <s v="SMI09020"/>
    <x v="0"/>
    <x v="5"/>
    <s v="Back Pressure Damper Automation"/>
    <x v="2"/>
    <x v="0"/>
    <n v="78000"/>
    <n v="57135.31"/>
    <n v="24238.31"/>
    <n v="0"/>
    <n v="57135.31"/>
    <s v="Nicholas"/>
    <s v="Hogan"/>
    <s v="SMS01"/>
    <x v="6"/>
    <x v="1"/>
    <x v="1"/>
    <x v="1"/>
    <x v="0"/>
    <x v="0"/>
    <x v="2"/>
    <x v="1"/>
    <x v="0"/>
    <x v="1"/>
    <x v="0"/>
    <x v="1"/>
    <n v="57135.31"/>
  </r>
  <r>
    <s v="P0900647"/>
    <x v="1"/>
    <s v="IGO09010"/>
    <x v="1"/>
    <x v="0"/>
    <s v="GI Site Fire Protection - Stage One Funding"/>
    <x v="3"/>
    <x v="0"/>
    <n v="269000"/>
    <n v="200761.41"/>
    <n v="41863.050000000003"/>
    <n v="0"/>
    <n v="200761.41"/>
    <s v="Craig"/>
    <s v="Ross"/>
    <s v="GW001"/>
    <x v="8"/>
    <x v="1"/>
    <x v="1"/>
    <x v="1"/>
    <x v="0"/>
    <x v="0"/>
    <x v="2"/>
    <x v="1"/>
    <x v="0"/>
    <x v="0"/>
    <x v="0"/>
    <x v="1"/>
    <n v="79906.73"/>
  </r>
  <r>
    <s v="P0900648"/>
    <x v="1"/>
    <s v="IGO09003"/>
    <x v="1"/>
    <x v="0"/>
    <s v="Recycled Water Line from BCC"/>
    <x v="7"/>
    <x v="0"/>
    <n v="1763465"/>
    <n v="235313.53"/>
    <n v="12337.5"/>
    <n v="0"/>
    <n v="235313.53"/>
    <s v="Craig"/>
    <s v="Ross"/>
    <s v="GW001"/>
    <x v="8"/>
    <x v="1"/>
    <x v="1"/>
    <x v="1"/>
    <x v="0"/>
    <x v="0"/>
    <x v="2"/>
    <x v="1"/>
    <x v="0"/>
    <x v="0"/>
    <x v="0"/>
    <x v="1"/>
    <n v="47892.27"/>
  </r>
  <r>
    <s v="P0900649"/>
    <x v="1"/>
    <s v="IGO09005"/>
    <x v="1"/>
    <x v="0"/>
    <s v="Stage 3a Stormwater Management"/>
    <x v="3"/>
    <x v="0"/>
    <n v="450722"/>
    <n v="255103.25"/>
    <n v="147537.29999999999"/>
    <n v="0"/>
    <n v="255103.25"/>
    <s v="Peter"/>
    <s v="Vollert"/>
    <s v="GW001"/>
    <x v="8"/>
    <x v="1"/>
    <x v="1"/>
    <x v="1"/>
    <x v="0"/>
    <x v="0"/>
    <x v="2"/>
    <x v="1"/>
    <x v="0"/>
    <x v="0"/>
    <x v="0"/>
    <x v="1"/>
    <n v="255103.25"/>
  </r>
  <r>
    <s v="P0900651"/>
    <x v="1"/>
    <s v="IGO09004.70"/>
    <x v="1"/>
    <x v="0"/>
    <s v="Drager Gas Suit Communications Equipment"/>
    <x v="3"/>
    <x v="0"/>
    <n v="4815"/>
    <n v="4500"/>
    <n v="0"/>
    <n v="0"/>
    <n v="4500"/>
    <s v="Bob"/>
    <s v="Marshall"/>
    <s v="GW001"/>
    <x v="8"/>
    <x v="1"/>
    <x v="1"/>
    <x v="1"/>
    <x v="0"/>
    <x v="0"/>
    <x v="2"/>
    <x v="1"/>
    <x v="0"/>
    <x v="0"/>
    <x v="0"/>
    <x v="1"/>
    <n v="4500"/>
  </r>
  <r>
    <s v="P0900652"/>
    <x v="1"/>
    <s v="IGO09004.60"/>
    <x v="1"/>
    <x v="0"/>
    <s v="Replacement Ultrasonic Flaw Detector"/>
    <x v="1"/>
    <x v="0"/>
    <n v="13251"/>
    <n v="13251"/>
    <n v="13251"/>
    <n v="0"/>
    <n v="13251"/>
    <s v="Angus"/>
    <s v="Dowrie"/>
    <s v="GW001"/>
    <x v="8"/>
    <x v="1"/>
    <x v="1"/>
    <x v="1"/>
    <x v="0"/>
    <x v="0"/>
    <x v="1"/>
    <x v="1"/>
    <x v="0"/>
    <x v="0"/>
    <x v="0"/>
    <x v="1"/>
    <n v="13251"/>
  </r>
  <r>
    <s v="P0900655"/>
    <x v="1"/>
    <s v="IGI09001"/>
    <x v="1"/>
    <x v="0"/>
    <s v="GI-PDC Platforms Handrails and Stairways Upgrade"/>
    <x v="4"/>
    <x v="0"/>
    <n v="107753"/>
    <n v="116957.9"/>
    <n v="89677.119999999995"/>
    <n v="0"/>
    <n v="116957.9"/>
    <s v="Bruce"/>
    <s v="King"/>
    <s v="GDO12"/>
    <x v="8"/>
    <x v="1"/>
    <x v="1"/>
    <x v="0"/>
    <x v="2"/>
    <x v="0"/>
    <x v="2"/>
    <x v="1"/>
    <x v="0"/>
    <x v="0"/>
    <x v="0"/>
    <x v="1"/>
    <n v="116957.9"/>
  </r>
  <r>
    <s v="P0900656"/>
    <x v="2"/>
    <s v="IGE09013"/>
    <x v="4"/>
    <x v="5"/>
    <s v="Geelong FSA Import Station"/>
    <x v="2"/>
    <x v="0"/>
    <n v="119425"/>
    <n v="109286.53"/>
    <n v="46565.03"/>
    <n v="0"/>
    <n v="109286.53"/>
    <s v="Raffaele"/>
    <s v="D'agostino"/>
    <s v="GEO02"/>
    <x v="10"/>
    <x v="4"/>
    <x v="1"/>
    <x v="1"/>
    <x v="0"/>
    <x v="0"/>
    <x v="2"/>
    <x v="1"/>
    <x v="0"/>
    <x v="1"/>
    <x v="0"/>
    <x v="1"/>
    <n v="109286.53"/>
  </r>
  <r>
    <s v="P0900657"/>
    <x v="2"/>
    <s v="IGE09021"/>
    <x v="4"/>
    <x v="0"/>
    <s v="Treatment of Geelong Stormwater"/>
    <x v="3"/>
    <x v="0"/>
    <n v="90150"/>
    <n v="90043.13"/>
    <n v="90043.13"/>
    <n v="0"/>
    <n v="90043.13"/>
    <s v="Eddie"/>
    <s v="Halsall"/>
    <s v="GES01"/>
    <x v="10"/>
    <x v="4"/>
    <x v="1"/>
    <x v="1"/>
    <x v="0"/>
    <x v="0"/>
    <x v="2"/>
    <x v="1"/>
    <x v="0"/>
    <x v="0"/>
    <x v="0"/>
    <x v="1"/>
    <n v="90043.13"/>
  </r>
  <r>
    <s v="P0900658"/>
    <x v="7"/>
    <s v="IPI09001"/>
    <x v="1"/>
    <x v="0"/>
    <s v="Pinkenba Platforms and Handrails Upgrade"/>
    <x v="4"/>
    <x v="0"/>
    <n v="93041"/>
    <n v="66331.33"/>
    <n v="48991.63"/>
    <n v="0"/>
    <n v="66331.33"/>
    <s v="Bruce"/>
    <s v="King"/>
    <s v="PW004"/>
    <x v="16"/>
    <x v="1"/>
    <x v="1"/>
    <x v="0"/>
    <x v="2"/>
    <x v="0"/>
    <x v="2"/>
    <x v="1"/>
    <x v="0"/>
    <x v="0"/>
    <x v="0"/>
    <x v="1"/>
    <n v="66331.33"/>
  </r>
  <r>
    <s v="P0900659"/>
    <x v="7"/>
    <s v="IPI09002"/>
    <x v="1"/>
    <x v="0"/>
    <s v="3 Toyota Forklifts for Pinkenba PDC"/>
    <x v="1"/>
    <x v="0"/>
    <n v="102303"/>
    <n v="102303"/>
    <n v="0"/>
    <n v="0"/>
    <n v="102303"/>
    <s v="Steven"/>
    <s v="Ling"/>
    <s v="PDH02"/>
    <x v="16"/>
    <x v="1"/>
    <x v="1"/>
    <x v="1"/>
    <x v="0"/>
    <x v="0"/>
    <x v="2"/>
    <x v="1"/>
    <x v="0"/>
    <x v="0"/>
    <x v="0"/>
    <x v="1"/>
    <n v="102303"/>
  </r>
  <r>
    <s v="P0900660"/>
    <x v="1"/>
    <s v="IGO09004.80"/>
    <x v="1"/>
    <x v="0"/>
    <s v="DCS Minor Upgrade"/>
    <x v="9"/>
    <x v="0"/>
    <n v="38176"/>
    <n v="33925"/>
    <n v="3520"/>
    <n v="0"/>
    <n v="33925"/>
    <s v="Basil"/>
    <s v="Neisler"/>
    <s v="GOA01"/>
    <x v="8"/>
    <x v="1"/>
    <x v="1"/>
    <x v="1"/>
    <x v="0"/>
    <x v="0"/>
    <x v="2"/>
    <x v="1"/>
    <x v="0"/>
    <x v="0"/>
    <x v="0"/>
    <x v="1"/>
    <n v="33925"/>
  </r>
  <r>
    <s v="P0900661"/>
    <x v="2"/>
    <s v="IPM09010"/>
    <x v="9"/>
    <x v="5"/>
    <s v="Portland FSA Storage and Load Out Facility"/>
    <x v="2"/>
    <x v="0"/>
    <n v="1039000"/>
    <n v="924524.54"/>
    <n v="100079.9"/>
    <n v="0"/>
    <n v="924524.54"/>
    <s v="Raffaele"/>
    <s v="D'agostino"/>
    <s v="PTS01"/>
    <x v="22"/>
    <x v="4"/>
    <x v="1"/>
    <x v="1"/>
    <x v="0"/>
    <x v="0"/>
    <x v="2"/>
    <x v="1"/>
    <x v="0"/>
    <x v="1"/>
    <x v="0"/>
    <x v="1"/>
    <n v="924524.54"/>
  </r>
  <r>
    <s v="P0900663"/>
    <x v="1"/>
    <s v="IGO09004.90"/>
    <x v="1"/>
    <x v="0"/>
    <s v="GI PDC Engulfment Response Kits"/>
    <x v="3"/>
    <x v="0"/>
    <n v="8040"/>
    <n v="5864.69"/>
    <n v="5729.39"/>
    <n v="0"/>
    <n v="5864.69"/>
    <s v="Andy"/>
    <s v="Roscher"/>
    <s v="GD012"/>
    <x v="8"/>
    <x v="1"/>
    <x v="1"/>
    <x v="1"/>
    <x v="0"/>
    <x v="0"/>
    <x v="2"/>
    <x v="1"/>
    <x v="0"/>
    <x v="0"/>
    <x v="0"/>
    <x v="1"/>
    <n v="5864.69"/>
  </r>
  <r>
    <s v="P0900667"/>
    <x v="1"/>
    <s v="IGO09004.110"/>
    <x v="1"/>
    <x v="0"/>
    <s v="Emergency Fire Fighting Equipment/PPE"/>
    <x v="3"/>
    <x v="0"/>
    <n v="7315"/>
    <n v="7314.96"/>
    <n v="7314.96"/>
    <n v="0"/>
    <n v="7314.96"/>
    <s v="Steven"/>
    <s v="Ling"/>
    <s v="GW001"/>
    <x v="8"/>
    <x v="1"/>
    <x v="1"/>
    <x v="1"/>
    <x v="0"/>
    <x v="0"/>
    <x v="1"/>
    <x v="1"/>
    <x v="0"/>
    <x v="0"/>
    <x v="0"/>
    <x v="1"/>
    <n v="7314.96"/>
  </r>
  <r>
    <s v="P0900668"/>
    <x v="1"/>
    <s v="IGO09004.120"/>
    <x v="1"/>
    <x v="0"/>
    <s v="Purchase Hi Torque Gun"/>
    <x v="3"/>
    <x v="0"/>
    <n v="12440"/>
    <n v="12439.83"/>
    <n v="0"/>
    <n v="0"/>
    <n v="12439.83"/>
    <s v="Jordan"/>
    <s v="Blackmur"/>
    <s v="GOU01"/>
    <x v="8"/>
    <x v="1"/>
    <x v="1"/>
    <x v="1"/>
    <x v="0"/>
    <x v="0"/>
    <x v="1"/>
    <x v="1"/>
    <x v="0"/>
    <x v="0"/>
    <x v="0"/>
    <x v="1"/>
    <n v="12439.83"/>
  </r>
  <r>
    <s v="P0900669"/>
    <x v="2"/>
    <s v="IGE09023"/>
    <x v="4"/>
    <x v="0"/>
    <s v="Driver Acid self loading"/>
    <x v="2"/>
    <x v="0"/>
    <n v="134035"/>
    <n v="123048.93"/>
    <n v="123048.93"/>
    <n v="0"/>
    <n v="123048.93"/>
    <s v="Donald"/>
    <s v="Ahern"/>
    <s v="GES01"/>
    <x v="10"/>
    <x v="4"/>
    <x v="1"/>
    <x v="0"/>
    <x v="0"/>
    <x v="2"/>
    <x v="2"/>
    <x v="1"/>
    <x v="0"/>
    <x v="1"/>
    <x v="0"/>
    <x v="1"/>
    <n v="123048.93"/>
  </r>
  <r>
    <s v="P0900673"/>
    <x v="1"/>
    <s v="IGU09008"/>
    <x v="1"/>
    <x v="0"/>
    <s v="Urea Solution Load Out Facility Upgrade"/>
    <x v="3"/>
    <x v="0"/>
    <n v="169497"/>
    <n v="16788.34"/>
    <n v="7287.5"/>
    <n v="0"/>
    <n v="16788.34"/>
    <s v="Daniel"/>
    <s v="Morton"/>
    <s v="GOU01"/>
    <x v="8"/>
    <x v="1"/>
    <x v="1"/>
    <x v="1"/>
    <x v="0"/>
    <x v="0"/>
    <x v="2"/>
    <x v="1"/>
    <x v="0"/>
    <x v="0"/>
    <x v="0"/>
    <x v="1"/>
    <n v="16788.34"/>
  </r>
  <r>
    <s v="P0900674"/>
    <x v="0"/>
    <s v="SPO09007"/>
    <x v="0"/>
    <x v="0"/>
    <s v="Kitchen Equipment Replacement"/>
    <x v="1"/>
    <x v="0"/>
    <n v="59000"/>
    <n v="30010"/>
    <n v="30010"/>
    <n v="0"/>
    <n v="30010"/>
    <s v="John"/>
    <s v="Gretton"/>
    <s v="SPZ02"/>
    <x v="27"/>
    <x v="1"/>
    <x v="1"/>
    <x v="1"/>
    <x v="0"/>
    <x v="0"/>
    <x v="2"/>
    <x v="1"/>
    <x v="0"/>
    <x v="0"/>
    <x v="0"/>
    <x v="1"/>
    <n v="30010"/>
  </r>
  <r>
    <s v="P0900676"/>
    <x v="3"/>
    <s v="SMI09021"/>
    <x v="0"/>
    <x v="0"/>
    <s v="Mt Isa Sulphur Bund Stage 1 Upgrade"/>
    <x v="4"/>
    <x v="0"/>
    <n v="186120"/>
    <n v="4377.5"/>
    <n v="4377.5"/>
    <n v="0"/>
    <n v="4377.5"/>
    <s v="Brett"/>
    <s v="Landells"/>
    <s v="SMS01"/>
    <x v="6"/>
    <x v="1"/>
    <x v="1"/>
    <x v="1"/>
    <x v="0"/>
    <x v="0"/>
    <x v="2"/>
    <x v="1"/>
    <x v="0"/>
    <x v="0"/>
    <x v="0"/>
    <x v="1"/>
    <n v="4377.5"/>
  </r>
  <r>
    <s v="P0900677"/>
    <x v="0"/>
    <s v="SPP09013"/>
    <x v="0"/>
    <x v="0"/>
    <s v="Reactor 1B Floor Repairs and Modification"/>
    <x v="4"/>
    <x v="0"/>
    <n v="1766299"/>
    <n v="1239593.43"/>
    <n v="348293.12"/>
    <n v="0"/>
    <n v="1239593.43"/>
    <s v="David"/>
    <s v="Rowbottom"/>
    <s v="SPP01"/>
    <x v="27"/>
    <x v="1"/>
    <x v="1"/>
    <x v="1"/>
    <x v="0"/>
    <x v="0"/>
    <x v="2"/>
    <x v="1"/>
    <x v="0"/>
    <x v="0"/>
    <x v="0"/>
    <x v="1"/>
    <n v="1239593.43"/>
  </r>
  <r>
    <s v="P0900679"/>
    <x v="3"/>
    <s v="SMI09022"/>
    <x v="0"/>
    <x v="0"/>
    <s v="SO2 Blowers' Cooling Water Supply"/>
    <x v="4"/>
    <x v="0"/>
    <n v="469325"/>
    <n v="109910.65"/>
    <n v="109910.65"/>
    <n v="0"/>
    <n v="109910.65"/>
    <s v="Nicholas"/>
    <s v="Hogan"/>
    <s v="SMS01"/>
    <x v="6"/>
    <x v="1"/>
    <x v="1"/>
    <x v="1"/>
    <x v="0"/>
    <x v="0"/>
    <x v="2"/>
    <x v="1"/>
    <x v="0"/>
    <x v="0"/>
    <x v="0"/>
    <x v="1"/>
    <n v="109910.65"/>
  </r>
  <r>
    <s v="P0900685"/>
    <x v="2"/>
    <s v="IPM09006"/>
    <x v="9"/>
    <x v="0"/>
    <s v="Granulation Screen Hut Filter Relocation"/>
    <x v="3"/>
    <x v="0"/>
    <n v="16700"/>
    <n v="14978.9"/>
    <n v="14978.9"/>
    <n v="0"/>
    <n v="14978.9"/>
    <s v="Karl"/>
    <s v="Nowakowski"/>
    <s v="PTS01"/>
    <x v="22"/>
    <x v="4"/>
    <x v="1"/>
    <x v="1"/>
    <x v="0"/>
    <x v="0"/>
    <x v="2"/>
    <x v="1"/>
    <x v="0"/>
    <x v="0"/>
    <x v="0"/>
    <x v="1"/>
    <n v="14978.9"/>
  </r>
  <r>
    <s v="P0900688"/>
    <x v="1"/>
    <s v="IG009004.150"/>
    <x v="1"/>
    <x v="0"/>
    <s v="Building136 Canteen Exhaust Canopy"/>
    <x v="1"/>
    <x v="0"/>
    <n v="26378"/>
    <n v="1001.12"/>
    <n v="1001.12"/>
    <n v="0"/>
    <n v="1001.12"/>
    <s v="John"/>
    <s v="Smith"/>
    <s v="GW001"/>
    <x v="8"/>
    <x v="1"/>
    <x v="1"/>
    <x v="0"/>
    <x v="2"/>
    <x v="0"/>
    <x v="2"/>
    <x v="1"/>
    <x v="0"/>
    <x v="0"/>
    <x v="0"/>
    <x v="1"/>
    <n v="1001.12"/>
  </r>
  <r>
    <s v="P0900690"/>
    <x v="0"/>
    <s v="SPP09005"/>
    <x v="0"/>
    <x v="0"/>
    <s v="Replace Existing HF Analyser"/>
    <x v="3"/>
    <x v="0"/>
    <n v="48061"/>
    <n v="574.80999999999995"/>
    <n v="574.80999999999995"/>
    <n v="0"/>
    <n v="574.80999999999995"/>
    <s v="Rehne"/>
    <s v="Andersen"/>
    <s v="SPP01"/>
    <x v="27"/>
    <x v="1"/>
    <x v="1"/>
    <x v="1"/>
    <x v="0"/>
    <x v="0"/>
    <x v="2"/>
    <x v="1"/>
    <x v="0"/>
    <x v="0"/>
    <x v="0"/>
    <x v="1"/>
    <n v="574.80999999999995"/>
  </r>
  <r>
    <s v="P0900691"/>
    <x v="2"/>
    <s v="IPM09001"/>
    <x v="9"/>
    <x v="0"/>
    <s v="Den Tunnel Duct Replacement"/>
    <x v="4"/>
    <x v="0"/>
    <n v="96000"/>
    <n v="8601.5"/>
    <n v="8601.5"/>
    <n v="0"/>
    <n v="8601.5"/>
    <s v="Karl"/>
    <s v="Nowakowski"/>
    <s v="PTS01"/>
    <x v="22"/>
    <x v="4"/>
    <x v="1"/>
    <x v="1"/>
    <x v="0"/>
    <x v="0"/>
    <x v="2"/>
    <x v="1"/>
    <x v="0"/>
    <x v="0"/>
    <x v="0"/>
    <x v="1"/>
    <n v="8601.5"/>
  </r>
  <r>
    <s v="P0900693"/>
    <x v="1"/>
    <s v="IGA09002"/>
    <x v="1"/>
    <x v="0"/>
    <s v="Replace Cooling Water Pump Intake Screens"/>
    <x v="1"/>
    <x v="0"/>
    <n v="33000"/>
    <n v="27388.86"/>
    <n v="27388.86"/>
    <n v="0"/>
    <n v="27388.86"/>
    <s v="Steven"/>
    <s v="Ling"/>
    <s v="GOA01"/>
    <x v="8"/>
    <x v="1"/>
    <x v="1"/>
    <x v="1"/>
    <x v="0"/>
    <x v="0"/>
    <x v="1"/>
    <x v="1"/>
    <x v="0"/>
    <x v="0"/>
    <x v="0"/>
    <x v="1"/>
    <n v="27388.86"/>
  </r>
  <r>
    <s v="P0900696"/>
    <x v="2"/>
    <s v="ISO09003"/>
    <x v="7"/>
    <x v="0"/>
    <s v="Devonport fluid application pump upgrade"/>
    <x v="1"/>
    <x v="0"/>
    <n v="5000"/>
    <n v="1704.8"/>
    <n v="1704.8"/>
    <n v="0"/>
    <n v="1704.8"/>
    <s v="Corey"/>
    <s v="Harris"/>
    <s v="FWD03"/>
    <x v="26"/>
    <x v="5"/>
    <x v="1"/>
    <x v="1"/>
    <x v="0"/>
    <x v="0"/>
    <x v="2"/>
    <x v="1"/>
    <x v="0"/>
    <x v="0"/>
    <x v="0"/>
    <x v="1"/>
    <n v="1704.8"/>
  </r>
  <r>
    <s v="P0900699"/>
    <x v="1"/>
    <s v="IGO09007"/>
    <x v="1"/>
    <x v="0"/>
    <s v="Purchase VideoProbe for Equipment Inspections"/>
    <x v="7"/>
    <x v="0"/>
    <n v="20518"/>
    <n v="20518.18"/>
    <n v="20518.18"/>
    <n v="0"/>
    <n v="20518.18"/>
    <s v="Angus"/>
    <s v="Dowrie"/>
    <s v="GW001"/>
    <x v="8"/>
    <x v="1"/>
    <x v="1"/>
    <x v="1"/>
    <x v="0"/>
    <x v="0"/>
    <x v="1"/>
    <x v="1"/>
    <x v="0"/>
    <x v="0"/>
    <x v="0"/>
    <x v="1"/>
    <n v="20518.18"/>
  </r>
  <r>
    <s v="P0900703"/>
    <x v="2"/>
    <s v="IPD09001"/>
    <x v="9"/>
    <x v="0"/>
    <s v="Unknown"/>
    <x v="0"/>
    <x v="0"/>
    <n v="0"/>
    <n v="83351.97"/>
    <n v="83351.97"/>
    <n v="0"/>
    <n v="83351.97"/>
    <m/>
    <m/>
    <m/>
    <x v="28"/>
    <x v="4"/>
    <x v="0"/>
    <x v="1"/>
    <x v="0"/>
    <x v="0"/>
    <x v="0"/>
    <x v="1"/>
    <x v="0"/>
    <x v="0"/>
    <x v="0"/>
    <x v="1"/>
    <n v="83351.97"/>
  </r>
  <r>
    <s v="SCO"/>
    <x v="3"/>
    <s v="SCO"/>
    <x v="0"/>
    <x v="0"/>
    <s v="Unknown"/>
    <x v="0"/>
    <x v="0"/>
    <n v="0"/>
    <n v="4575.01"/>
    <n v="0"/>
    <n v="0"/>
    <n v="4575.01"/>
    <m/>
    <m/>
    <m/>
    <x v="0"/>
    <x v="0"/>
    <x v="0"/>
    <x v="0"/>
    <x v="0"/>
    <x v="0"/>
    <x v="0"/>
    <x v="0"/>
    <x v="0"/>
    <x v="0"/>
    <x v="0"/>
    <x v="0"/>
    <n v="0"/>
  </r>
  <r>
    <s v="SCO"/>
    <x v="0"/>
    <s v="SCO"/>
    <x v="0"/>
    <x v="0"/>
    <s v="Unknown"/>
    <x v="0"/>
    <x v="0"/>
    <n v="0"/>
    <n v="18795.27"/>
    <n v="0"/>
    <n v="0"/>
    <n v="18795.27"/>
    <m/>
    <m/>
    <m/>
    <x v="0"/>
    <x v="0"/>
    <x v="0"/>
    <x v="0"/>
    <x v="0"/>
    <x v="0"/>
    <x v="0"/>
    <x v="0"/>
    <x v="0"/>
    <x v="0"/>
    <x v="0"/>
    <x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:M17" firstHeaderRow="1" firstDataRow="2" firstDataCol="1"/>
  <pivotFields count="2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3">
        <item x="1"/>
        <item x="3"/>
        <item x="9"/>
        <item x="6"/>
        <item x="7"/>
        <item x="5"/>
        <item x="11"/>
        <item x="2"/>
        <item x="8"/>
        <item x="10"/>
        <item x="4"/>
        <item x="0"/>
        <item t="default"/>
      </items>
    </pivotField>
    <pivotField axis="axisCol" compact="0" outline="0" subtotalTop="0" showAll="0" includeNewItemsInFilter="1">
      <items count="13">
        <item x="6"/>
        <item x="1"/>
        <item x="5"/>
        <item x="2"/>
        <item x="7"/>
        <item x="8"/>
        <item x="4"/>
        <item x="3"/>
        <item m="1" x="11"/>
        <item x="0"/>
        <item x="9"/>
        <item x="1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numFmtId="16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 t="grand">
      <x/>
    </i>
  </colItems>
  <dataFields count="1">
    <dataField name="Sum of CurrentYear" fld="8" baseField="0" baseItem="0" numFmtId="164"/>
  </dataFields>
  <formats count="7">
    <format dxfId="45">
      <pivotArea outline="0" fieldPosition="0"/>
    </format>
    <format dxfId="44">
      <pivotArea outline="0" fieldPosition="0">
        <references count="1">
          <reference field="3" count="1" selected="0">
            <x v="10"/>
          </reference>
        </references>
      </pivotArea>
    </format>
    <format dxfId="43">
      <pivotArea dataOnly="0" labelOnly="1" outline="0" fieldPosition="0">
        <references count="1">
          <reference field="3" count="1">
            <x v="10"/>
          </reference>
        </references>
      </pivotArea>
    </format>
    <format dxfId="42">
      <pivotArea outline="0" fieldPosition="0">
        <references count="1">
          <reference field="3" count="1" selected="0">
            <x v="2"/>
          </reference>
        </references>
      </pivotArea>
    </format>
    <format dxfId="41">
      <pivotArea dataOnly="0" labelOnly="1" outline="0" fieldPosition="0">
        <references count="1">
          <reference field="3" count="1">
            <x v="2"/>
          </reference>
        </references>
      </pivotArea>
    </format>
    <format dxfId="40">
      <pivotArea outline="0" fieldPosition="0">
        <references count="1">
          <reference field="3" count="1" selected="0">
            <x v="4"/>
          </reference>
        </references>
      </pivotArea>
    </format>
    <format dxfId="39">
      <pivotArea dataOnly="0" labelOnly="1" outline="0" fieldPosition="0">
        <references count="1">
          <reference field="3" count="1">
            <x v="4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PivotTable1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:I18" firstHeaderRow="1" firstDataRow="2" firstDataCol="1"/>
  <pivotFields count="31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4">
        <item x="12"/>
        <item x="2"/>
        <item x="11"/>
        <item x="6"/>
        <item x="8"/>
        <item x="5"/>
        <item x="9"/>
        <item x="0"/>
        <item x="3"/>
        <item x="4"/>
        <item x="10"/>
        <item x="1"/>
        <item x="7"/>
        <item t="default"/>
      </items>
    </pivotField>
    <pivotField axis="axisCol" compact="0" outline="0" subtotalTop="0" showAll="0" includeNewItemsInFilter="1">
      <items count="8">
        <item x="4"/>
        <item x="0"/>
        <item x="2"/>
        <item x="6"/>
        <item x="5"/>
        <item x="1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numFmtId="164" outline="0" subtotalTop="0" showAll="0" includeNewItemsInFilter="1"/>
    <pivotField compact="0" numFmtId="16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4" outline="0" subtotalTop="0" showAll="0" includeNewItemsInFilter="1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4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urrentYear" fld="9" baseField="0" baseItem="0" numFmtId="164"/>
  </dataFields>
  <formats count="7">
    <format dxfId="38">
      <pivotArea outline="0" fieldPosition="0"/>
    </format>
    <format dxfId="37">
      <pivotArea outline="0" fieldPosition="0">
        <references count="1">
          <reference field="3" count="1" selected="0">
            <x v="4"/>
          </reference>
        </references>
      </pivotArea>
    </format>
    <format dxfId="36">
      <pivotArea dataOnly="0" labelOnly="1" outline="0" fieldPosition="0">
        <references count="1">
          <reference field="3" count="1">
            <x v="4"/>
          </reference>
        </references>
      </pivotArea>
    </format>
    <format dxfId="35">
      <pivotArea outline="0" fieldPosition="0">
        <references count="1">
          <reference field="3" count="1" selected="0">
            <x v="11"/>
          </reference>
        </references>
      </pivotArea>
    </format>
    <format dxfId="34">
      <pivotArea dataOnly="0" labelOnly="1" outline="0" fieldPosition="0">
        <references count="1">
          <reference field="3" count="1">
            <x v="11"/>
          </reference>
        </references>
      </pivotArea>
    </format>
    <format dxfId="33">
      <pivotArea outline="0" fieldPosition="0">
        <references count="1">
          <reference field="3" count="1" selected="0">
            <x v="2"/>
          </reference>
        </references>
      </pivotArea>
    </format>
    <format dxfId="32">
      <pivotArea dataOnly="0" labelOnly="1" outline="0" fieldPosition="0">
        <references count="1">
          <reference field="3" count="1">
            <x v="2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500-000000000000}" name="PivotTable1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:L16" firstHeaderRow="1" firstDataRow="2" firstDataCol="1"/>
  <pivotFields count="29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2">
        <item x="1"/>
        <item x="2"/>
        <item x="5"/>
        <item x="4"/>
        <item x="3"/>
        <item x="8"/>
        <item x="9"/>
        <item x="10"/>
        <item x="0"/>
        <item x="7"/>
        <item x="6"/>
        <item t="default"/>
      </items>
    </pivotField>
    <pivotField axis="axisCol" compact="0" outline="0" subtotalTop="0" showAll="0" includeNewItemsInFilter="1">
      <items count="11">
        <item x="4"/>
        <item x="5"/>
        <item x="6"/>
        <item x="8"/>
        <item x="1"/>
        <item x="7"/>
        <item x="9"/>
        <item x="3"/>
        <item x="2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numFmtId="16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4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CurrentYear" fld="9" baseField="0" baseItem="0" numFmtId="164"/>
  </dataFields>
  <formats count="29">
    <format dxfId="31">
      <pivotArea outline="0" fieldPosition="0"/>
    </format>
    <format dxfId="30">
      <pivotArea outline="0" fieldPosition="0">
        <references count="1">
          <reference field="3" count="1" selected="0">
            <x v="8"/>
          </reference>
        </references>
      </pivotArea>
    </format>
    <format dxfId="29">
      <pivotArea dataOnly="0" labelOnly="1" outline="0" fieldPosition="0">
        <references count="1">
          <reference field="3" count="1">
            <x v="8"/>
          </reference>
        </references>
      </pivotArea>
    </format>
    <format dxfId="28">
      <pivotArea outline="0" fieldPosition="0">
        <references count="1">
          <reference field="3" count="1" selected="0">
            <x v="2"/>
          </reference>
        </references>
      </pivotArea>
    </format>
    <format dxfId="27">
      <pivotArea dataOnly="0" labelOnly="1" outline="0" fieldPosition="0">
        <references count="1">
          <reference field="3" count="1">
            <x v="2"/>
          </reference>
        </references>
      </pivotArea>
    </format>
    <format dxfId="26">
      <pivotArea outline="0" fieldPosition="0">
        <references count="1">
          <reference field="3" count="2" selected="0">
            <x v="0"/>
            <x v="1"/>
          </reference>
        </references>
      </pivotArea>
    </format>
    <format dxfId="25">
      <pivotArea dataOnly="0" labelOnly="1" outline="0" fieldPosition="0">
        <references count="1">
          <reference field="3" count="2">
            <x v="0"/>
            <x v="1"/>
          </reference>
        </references>
      </pivotArea>
    </format>
    <format dxfId="24">
      <pivotArea outline="0" fieldPosition="0">
        <references count="1">
          <reference field="3" count="5" selected="0">
            <x v="3"/>
            <x v="4"/>
            <x v="5"/>
            <x v="6"/>
            <x v="7"/>
          </reference>
        </references>
      </pivotArea>
    </format>
    <format dxfId="23">
      <pivotArea dataOnly="0" labelOnly="1" outline="0" fieldPosition="0">
        <references count="1">
          <reference field="3" count="5">
            <x v="3"/>
            <x v="4"/>
            <x v="5"/>
            <x v="6"/>
            <x v="7"/>
          </reference>
        </references>
      </pivotArea>
    </format>
    <format dxfId="22">
      <pivotArea outline="0" fieldPosition="0">
        <references count="1">
          <reference field="3" count="2" selected="0">
            <x v="9"/>
            <x v="10"/>
          </reference>
        </references>
      </pivotArea>
    </format>
    <format dxfId="21">
      <pivotArea dataOnly="0" labelOnly="1" outline="0" fieldPosition="0">
        <references count="1">
          <reference field="3" count="5">
            <x v="3"/>
            <x v="4"/>
            <x v="5"/>
            <x v="6"/>
            <x v="7"/>
          </reference>
        </references>
      </pivotArea>
    </format>
    <format dxfId="20">
      <pivotArea dataOnly="0" labelOnly="1" outline="0" fieldPosition="0">
        <references count="1">
          <reference field="3" count="1">
            <x v="3"/>
          </reference>
        </references>
      </pivotArea>
    </format>
    <format dxfId="19">
      <pivotArea outline="0" fieldPosition="0">
        <references count="1">
          <reference field="3" count="5" selected="0">
            <x v="3"/>
            <x v="4"/>
            <x v="5"/>
            <x v="6"/>
            <x v="7"/>
          </reference>
        </references>
      </pivotArea>
    </format>
    <format dxfId="18">
      <pivotArea outline="0" fieldPosition="0">
        <references count="2">
          <reference field="3" count="1" selected="0">
            <x v="3"/>
          </reference>
          <reference field="4" count="1" selected="0">
            <x v="0"/>
          </reference>
        </references>
      </pivotArea>
    </format>
    <format dxfId="17">
      <pivotArea outline="0" fieldPosition="0">
        <references count="2">
          <reference field="3" count="1" selected="0">
            <x v="3"/>
          </reference>
          <reference field="4" count="1" selected="0">
            <x v="9"/>
          </reference>
        </references>
      </pivotArea>
    </format>
    <format dxfId="16">
      <pivotArea outline="0" fieldPosition="0">
        <references count="2">
          <reference field="3" count="1" selected="0">
            <x v="4"/>
          </reference>
          <reference field="4" count="1" selected="0">
            <x v="0"/>
          </reference>
        </references>
      </pivotArea>
    </format>
    <format dxfId="15">
      <pivotArea outline="0" fieldPosition="0">
        <references count="2">
          <reference field="3" count="1" selected="0">
            <x v="4"/>
          </reference>
          <reference field="4" count="1" selected="0">
            <x v="9"/>
          </reference>
        </references>
      </pivotArea>
    </format>
    <format dxfId="14">
      <pivotArea outline="0" fieldPosition="0">
        <references count="2">
          <reference field="3" count="1" selected="0">
            <x v="6"/>
          </reference>
          <reference field="4" count="1" selected="0">
            <x v="9"/>
          </reference>
        </references>
      </pivotArea>
    </format>
    <format dxfId="13">
      <pivotArea outline="0" fieldPosition="0">
        <references count="1">
          <reference field="3" count="2" selected="0">
            <x v="0"/>
            <x v="1"/>
          </reference>
        </references>
      </pivotArea>
    </format>
    <format dxfId="12">
      <pivotArea outline="0" fieldPosition="0">
        <references count="2">
          <reference field="3" count="1" selected="0">
            <x v="0"/>
          </reference>
          <reference field="4" count="2" selected="0">
            <x v="8"/>
            <x v="9"/>
          </reference>
        </references>
      </pivotArea>
    </format>
    <format dxfId="11">
      <pivotArea outline="0" fieldPosition="0">
        <references count="2">
          <reference field="3" count="1" selected="0">
            <x v="0"/>
          </reference>
          <reference field="4" count="1" selected="0">
            <x v="0"/>
          </reference>
        </references>
      </pivotArea>
    </format>
    <format dxfId="10">
      <pivotArea outline="0" fieldPosition="0">
        <references count="2">
          <reference field="3" count="1" selected="0">
            <x v="1"/>
          </reference>
          <reference field="4" count="1" selected="0">
            <x v="0"/>
          </reference>
        </references>
      </pivotArea>
    </format>
    <format dxfId="9">
      <pivotArea outline="0" fieldPosition="0">
        <references count="2">
          <reference field="3" count="1" selected="0">
            <x v="1"/>
          </reference>
          <reference field="4" count="1" selected="0">
            <x v="9"/>
          </reference>
        </references>
      </pivotArea>
    </format>
    <format dxfId="8">
      <pivotArea outline="0" fieldPosition="0">
        <references count="1">
          <reference field="3" count="2" selected="0">
            <x v="0"/>
            <x v="1"/>
          </reference>
        </references>
      </pivotArea>
    </format>
    <format dxfId="7">
      <pivotArea dataOnly="0" labelOnly="1" outline="0" fieldPosition="0">
        <references count="1">
          <reference field="3" count="2">
            <x v="0"/>
            <x v="1"/>
          </reference>
        </references>
      </pivotArea>
    </format>
    <format dxfId="6">
      <pivotArea outline="0" fieldPosition="0">
        <references count="1">
          <reference field="3" count="5" selected="0">
            <x v="3"/>
            <x v="4"/>
            <x v="5"/>
            <x v="6"/>
            <x v="7"/>
          </reference>
        </references>
      </pivotArea>
    </format>
    <format dxfId="5">
      <pivotArea dataOnly="0" labelOnly="1" outline="0" fieldPosition="0">
        <references count="1">
          <reference field="3" count="5">
            <x v="3"/>
            <x v="4"/>
            <x v="5"/>
            <x v="6"/>
            <x v="7"/>
          </reference>
        </references>
      </pivotArea>
    </format>
    <format dxfId="4">
      <pivotArea outline="0" fieldPosition="0">
        <references count="1">
          <reference field="3" count="2" selected="0">
            <x v="9"/>
            <x v="10"/>
          </reference>
        </references>
      </pivotArea>
    </format>
    <format dxfId="3">
      <pivotArea dataOnly="0" labelOnly="1" outline="0" fieldPosition="0">
        <references count="1">
          <reference field="3" count="2">
            <x v="9"/>
            <x v="10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1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customProperty" Target="../customProperty1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customProperty" Target="../customProperty2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customProperty" Target="../customProperty2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2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A1:BR119"/>
  <sheetViews>
    <sheetView showGridLines="0" zoomScale="115" zoomScaleNormal="115" workbookViewId="0">
      <pane ySplit="4" topLeftCell="A6" activePane="bottomLeft" state="frozen"/>
      <selection sqref="A1:AB118"/>
      <selection pane="bottomLeft"/>
    </sheetView>
  </sheetViews>
  <sheetFormatPr defaultRowHeight="12.75" outlineLevelRow="1" outlineLevelCol="1" x14ac:dyDescent="0.2"/>
  <cols>
    <col min="1" max="1" width="42.7109375" customWidth="1"/>
    <col min="2" max="2" width="10" hidden="1" customWidth="1" outlineLevel="1"/>
    <col min="3" max="3" width="0.7109375" hidden="1" customWidth="1" outlineLevel="1"/>
    <col min="4" max="4" width="10" hidden="1" customWidth="1" outlineLevel="1"/>
    <col min="5" max="5" width="1" hidden="1" customWidth="1" outlineLevel="1"/>
    <col min="6" max="6" width="10" customWidth="1" collapsed="1"/>
    <col min="7" max="7" width="1" customWidth="1" collapsed="1"/>
    <col min="8" max="8" width="10" customWidth="1"/>
    <col min="9" max="9" width="0.7109375" customWidth="1"/>
    <col min="10" max="10" width="10" customWidth="1"/>
    <col min="11" max="11" width="1" customWidth="1"/>
    <col min="12" max="12" width="10" customWidth="1"/>
    <col min="13" max="13" width="1" customWidth="1" collapsed="1"/>
    <col min="14" max="14" width="10" customWidth="1"/>
    <col min="15" max="15" width="0.7109375" customWidth="1"/>
    <col min="16" max="16" width="10" customWidth="1"/>
    <col min="17" max="17" width="1" customWidth="1"/>
    <col min="18" max="18" width="10" customWidth="1"/>
    <col min="19" max="19" width="0.7109375" customWidth="1"/>
    <col min="20" max="20" width="10" customWidth="1"/>
    <col min="21" max="21" width="0.7109375" customWidth="1"/>
    <col min="22" max="22" width="10" customWidth="1"/>
    <col min="23" max="23" width="1" customWidth="1" collapsed="1"/>
    <col min="24" max="24" width="10" customWidth="1"/>
    <col min="25" max="25" width="0.7109375" customWidth="1"/>
    <col min="26" max="26" width="10" customWidth="1"/>
    <col min="27" max="27" width="0.7109375" customWidth="1"/>
    <col min="28" max="28" width="10" customWidth="1"/>
    <col min="29" max="29" width="1" hidden="1" customWidth="1" outlineLevel="1"/>
    <col min="30" max="30" width="10" hidden="1" customWidth="1" outlineLevel="1"/>
    <col min="31" max="31" width="0.7109375" hidden="1" customWidth="1" outlineLevel="1"/>
    <col min="32" max="32" width="10" hidden="1" customWidth="1" outlineLevel="1"/>
    <col min="33" max="33" width="0.7109375" hidden="1" customWidth="1" outlineLevel="1"/>
    <col min="34" max="34" width="10" hidden="1" customWidth="1" outlineLevel="1"/>
    <col min="35" max="35" width="1" hidden="1" customWidth="1" outlineLevel="1"/>
    <col min="36" max="36" width="10" hidden="1" customWidth="1" outlineLevel="1"/>
    <col min="37" max="37" width="0.7109375" hidden="1" customWidth="1" outlineLevel="1"/>
    <col min="38" max="38" width="10" hidden="1" customWidth="1" outlineLevel="1"/>
    <col min="39" max="39" width="0.7109375" hidden="1" customWidth="1" outlineLevel="1"/>
    <col min="40" max="40" width="10" hidden="1" customWidth="1" outlineLevel="1"/>
    <col min="41" max="41" width="0.7109375" hidden="1" customWidth="1" outlineLevel="1"/>
    <col min="42" max="42" width="10" hidden="1" customWidth="1" outlineLevel="1"/>
    <col min="43" max="43" width="1" hidden="1" customWidth="1" outlineLevel="1"/>
    <col min="44" max="44" width="10" hidden="1" customWidth="1" outlineLevel="1"/>
    <col min="45" max="45" width="1" hidden="1" customWidth="1" outlineLevel="1"/>
    <col min="46" max="46" width="10" hidden="1" customWidth="1" outlineLevel="1"/>
    <col min="47" max="47" width="0.7109375" hidden="1" customWidth="1" outlineLevel="1"/>
    <col min="48" max="48" width="10" hidden="1" customWidth="1" outlineLevel="1"/>
    <col min="49" max="49" width="0.7109375" hidden="1" customWidth="1" outlineLevel="1"/>
    <col min="50" max="50" width="10" hidden="1" customWidth="1" outlineLevel="1"/>
    <col min="51" max="51" width="0.7109375" hidden="1" customWidth="1" outlineLevel="1"/>
    <col min="52" max="52" width="10" hidden="1" customWidth="1" outlineLevel="1"/>
    <col min="53" max="53" width="0.7109375" hidden="1" customWidth="1" outlineLevel="1"/>
    <col min="54" max="54" width="10" hidden="1" customWidth="1" outlineLevel="1"/>
    <col min="55" max="55" width="0.7109375" hidden="1" customWidth="1" outlineLevel="1"/>
    <col min="56" max="56" width="11.28515625" style="554" hidden="1" customWidth="1" outlineLevel="1"/>
    <col min="57" max="57" width="0.7109375" hidden="1" customWidth="1" outlineLevel="1"/>
    <col min="58" max="58" width="8.42578125" hidden="1" customWidth="1" outlineLevel="1"/>
    <col min="59" max="59" width="1" hidden="1" customWidth="1" outlineLevel="1"/>
    <col min="60" max="60" width="7.7109375" hidden="1" customWidth="1" outlineLevel="1"/>
    <col min="61" max="61" width="1.42578125" hidden="1" customWidth="1" outlineLevel="1"/>
    <col min="62" max="62" width="10.7109375" style="554" hidden="1" customWidth="1" outlineLevel="1"/>
    <col min="63" max="63" width="1" hidden="1" customWidth="1" outlineLevel="1"/>
    <col min="64" max="64" width="8.42578125" hidden="1" customWidth="1" outlineLevel="1"/>
    <col min="65" max="65" width="1" hidden="1" customWidth="1" outlineLevel="1"/>
    <col min="66" max="66" width="7.7109375" hidden="1" customWidth="1" outlineLevel="1"/>
    <col min="67" max="68" width="9.28515625" hidden="1" customWidth="1" outlineLevel="1"/>
    <col min="69" max="69" width="9.28515625" customWidth="1" collapsed="1"/>
    <col min="70" max="70" width="9.28515625" customWidth="1"/>
  </cols>
  <sheetData>
    <row r="1" spans="1:70" s="7" customFormat="1" ht="11.25" x14ac:dyDescent="0.2">
      <c r="A1" s="517" t="s">
        <v>10</v>
      </c>
      <c r="B1" s="520" t="s">
        <v>7</v>
      </c>
      <c r="C1" s="526"/>
      <c r="D1" s="527" t="s">
        <v>7</v>
      </c>
      <c r="E1" s="142"/>
      <c r="F1" s="521" t="s">
        <v>1</v>
      </c>
      <c r="G1" s="142"/>
      <c r="H1" s="520" t="s">
        <v>7</v>
      </c>
      <c r="I1" s="526"/>
      <c r="J1" s="527" t="s">
        <v>7</v>
      </c>
      <c r="K1" s="142"/>
      <c r="L1" s="521" t="s">
        <v>1</v>
      </c>
      <c r="M1" s="142"/>
      <c r="N1" s="546" t="s">
        <v>7</v>
      </c>
      <c r="O1" s="526"/>
      <c r="P1" s="527" t="s">
        <v>7</v>
      </c>
      <c r="Q1" s="142"/>
      <c r="R1" s="521" t="s">
        <v>1</v>
      </c>
      <c r="S1" s="158"/>
      <c r="T1" s="520" t="s">
        <v>7</v>
      </c>
      <c r="U1" s="526"/>
      <c r="V1" s="527" t="s">
        <v>7</v>
      </c>
      <c r="W1" s="142"/>
      <c r="X1" s="521" t="s">
        <v>1</v>
      </c>
      <c r="Y1" s="158"/>
      <c r="Z1" s="520" t="s">
        <v>7</v>
      </c>
      <c r="AA1" s="526"/>
      <c r="AB1" s="527" t="s">
        <v>7</v>
      </c>
      <c r="AC1" s="142"/>
      <c r="AD1" s="527" t="s">
        <v>1</v>
      </c>
      <c r="AE1" s="158"/>
      <c r="AF1" s="520" t="s">
        <v>7</v>
      </c>
      <c r="AG1" s="526"/>
      <c r="AH1" s="527" t="s">
        <v>7</v>
      </c>
      <c r="AI1" s="142"/>
      <c r="AJ1" s="153" t="s">
        <v>1</v>
      </c>
      <c r="AK1" s="145"/>
      <c r="AL1" s="550" t="s">
        <v>7</v>
      </c>
      <c r="AM1" s="158"/>
      <c r="AN1" s="521" t="s">
        <v>7</v>
      </c>
      <c r="AO1" s="526"/>
      <c r="AP1" s="527" t="s">
        <v>0</v>
      </c>
      <c r="AQ1" s="530"/>
      <c r="AR1" s="520" t="s">
        <v>7</v>
      </c>
      <c r="AS1" s="526"/>
      <c r="AT1" s="527" t="s">
        <v>7</v>
      </c>
      <c r="AU1" s="145"/>
      <c r="AV1" s="527" t="s">
        <v>0</v>
      </c>
      <c r="AW1" s="142"/>
      <c r="AX1" s="520" t="s">
        <v>7</v>
      </c>
      <c r="AY1" s="145"/>
      <c r="AZ1" s="527" t="s">
        <v>7</v>
      </c>
      <c r="BA1" s="105"/>
      <c r="BB1" s="521" t="s">
        <v>0</v>
      </c>
      <c r="BC1" s="151"/>
      <c r="BD1" s="154" t="s">
        <v>7</v>
      </c>
      <c r="BE1" s="145"/>
      <c r="BF1" s="152" t="s">
        <v>7</v>
      </c>
      <c r="BG1" s="145"/>
      <c r="BH1" s="152" t="s">
        <v>0</v>
      </c>
      <c r="BI1" s="9"/>
      <c r="BJ1" s="154" t="s">
        <v>7</v>
      </c>
      <c r="BK1" s="145"/>
      <c r="BL1" s="152" t="s">
        <v>7</v>
      </c>
      <c r="BM1" s="145"/>
      <c r="BN1" s="152" t="s">
        <v>0</v>
      </c>
      <c r="BR1" s="142"/>
    </row>
    <row r="2" spans="1:70" s="7" customFormat="1" ht="11.25" x14ac:dyDescent="0.2">
      <c r="A2" s="516" t="s">
        <v>11</v>
      </c>
      <c r="B2" s="155">
        <v>2017</v>
      </c>
      <c r="C2" s="146"/>
      <c r="D2" s="528">
        <v>2017</v>
      </c>
      <c r="E2" s="142"/>
      <c r="F2" s="528">
        <v>2017</v>
      </c>
      <c r="G2" s="142"/>
      <c r="H2" s="155">
        <v>2016</v>
      </c>
      <c r="I2" s="146"/>
      <c r="J2" s="528">
        <v>2016</v>
      </c>
      <c r="K2" s="142"/>
      <c r="L2" s="528">
        <v>2016</v>
      </c>
      <c r="M2" s="142"/>
      <c r="N2" s="547">
        <v>2015</v>
      </c>
      <c r="O2" s="146"/>
      <c r="P2" s="528">
        <v>2015</v>
      </c>
      <c r="Q2" s="142"/>
      <c r="R2" s="153">
        <v>2015</v>
      </c>
      <c r="S2" s="146"/>
      <c r="T2" s="155">
        <v>2014</v>
      </c>
      <c r="U2" s="146"/>
      <c r="V2" s="528">
        <v>2014</v>
      </c>
      <c r="W2" s="142"/>
      <c r="X2" s="153">
        <v>2014</v>
      </c>
      <c r="Y2" s="146"/>
      <c r="Z2" s="155">
        <v>2013</v>
      </c>
      <c r="AA2" s="146"/>
      <c r="AB2" s="528">
        <v>2013</v>
      </c>
      <c r="AC2" s="142"/>
      <c r="AD2" s="528">
        <v>2013</v>
      </c>
      <c r="AE2" s="146"/>
      <c r="AF2" s="155">
        <v>2012</v>
      </c>
      <c r="AG2" s="146"/>
      <c r="AH2" s="528">
        <v>2012</v>
      </c>
      <c r="AI2" s="142"/>
      <c r="AJ2" s="153">
        <v>2012</v>
      </c>
      <c r="AK2" s="146"/>
      <c r="AL2" s="155">
        <v>2011</v>
      </c>
      <c r="AM2" s="146"/>
      <c r="AN2" s="153">
        <v>2011</v>
      </c>
      <c r="AO2" s="146"/>
      <c r="AP2" s="528">
        <v>2011</v>
      </c>
      <c r="AQ2" s="146"/>
      <c r="AR2" s="155">
        <v>2010</v>
      </c>
      <c r="AS2" s="146"/>
      <c r="AT2" s="528">
        <v>2010</v>
      </c>
      <c r="AU2" s="146"/>
      <c r="AV2" s="528">
        <v>2010</v>
      </c>
      <c r="AW2" s="142"/>
      <c r="AX2" s="155">
        <v>2009</v>
      </c>
      <c r="AY2" s="146"/>
      <c r="AZ2" s="528">
        <v>2009</v>
      </c>
      <c r="BA2" s="106"/>
      <c r="BB2" s="153">
        <v>2009</v>
      </c>
      <c r="BC2" s="136"/>
      <c r="BD2" s="155">
        <v>2008</v>
      </c>
      <c r="BE2" s="146"/>
      <c r="BF2" s="153">
        <v>2008</v>
      </c>
      <c r="BG2" s="146"/>
      <c r="BH2" s="153">
        <v>2008</v>
      </c>
      <c r="BI2" s="9"/>
      <c r="BJ2" s="155">
        <v>2007</v>
      </c>
      <c r="BK2" s="146"/>
      <c r="BL2" s="153">
        <v>2007</v>
      </c>
      <c r="BM2" s="146"/>
      <c r="BN2" s="153">
        <v>2007</v>
      </c>
      <c r="BR2" s="142"/>
    </row>
    <row r="3" spans="1:70" s="7" customFormat="1" ht="11.25" x14ac:dyDescent="0.2">
      <c r="A3" s="515"/>
      <c r="B3" s="156" t="s">
        <v>9</v>
      </c>
      <c r="C3" s="146"/>
      <c r="D3" s="528" t="s">
        <v>8</v>
      </c>
      <c r="E3" s="142"/>
      <c r="F3" s="528" t="s">
        <v>8</v>
      </c>
      <c r="G3" s="142"/>
      <c r="H3" s="156" t="s">
        <v>9</v>
      </c>
      <c r="I3" s="146"/>
      <c r="J3" s="528" t="s">
        <v>8</v>
      </c>
      <c r="K3" s="142"/>
      <c r="L3" s="528" t="s">
        <v>8</v>
      </c>
      <c r="M3" s="142"/>
      <c r="N3" s="548" t="s">
        <v>9</v>
      </c>
      <c r="O3" s="146"/>
      <c r="P3" s="528" t="s">
        <v>8</v>
      </c>
      <c r="Q3" s="142"/>
      <c r="R3" s="153" t="s">
        <v>8</v>
      </c>
      <c r="S3" s="146"/>
      <c r="T3" s="156" t="s">
        <v>9</v>
      </c>
      <c r="U3" s="146"/>
      <c r="V3" s="528" t="s">
        <v>8</v>
      </c>
      <c r="W3" s="142"/>
      <c r="X3" s="153" t="s">
        <v>8</v>
      </c>
      <c r="Y3" s="146"/>
      <c r="Z3" s="156" t="s">
        <v>9</v>
      </c>
      <c r="AA3" s="146"/>
      <c r="AB3" s="528" t="s">
        <v>8</v>
      </c>
      <c r="AC3" s="142"/>
      <c r="AD3" s="528" t="s">
        <v>8</v>
      </c>
      <c r="AE3" s="146"/>
      <c r="AF3" s="156" t="s">
        <v>9</v>
      </c>
      <c r="AG3" s="146"/>
      <c r="AH3" s="528" t="s">
        <v>8</v>
      </c>
      <c r="AI3" s="142"/>
      <c r="AJ3" s="153" t="s">
        <v>8</v>
      </c>
      <c r="AK3" s="146"/>
      <c r="AL3" s="156" t="s">
        <v>9</v>
      </c>
      <c r="AM3" s="146"/>
      <c r="AN3" s="153" t="s">
        <v>8</v>
      </c>
      <c r="AO3" s="146"/>
      <c r="AP3" s="528" t="s">
        <v>8</v>
      </c>
      <c r="AQ3" s="146"/>
      <c r="AR3" s="156" t="s">
        <v>9</v>
      </c>
      <c r="AS3" s="146"/>
      <c r="AT3" s="528" t="s">
        <v>8</v>
      </c>
      <c r="AU3" s="146"/>
      <c r="AV3" s="528" t="s">
        <v>8</v>
      </c>
      <c r="AW3" s="142"/>
      <c r="AX3" s="156" t="s">
        <v>9</v>
      </c>
      <c r="AY3" s="146"/>
      <c r="AZ3" s="528" t="s">
        <v>8</v>
      </c>
      <c r="BA3" s="106"/>
      <c r="BB3" s="153" t="s">
        <v>8</v>
      </c>
      <c r="BC3" s="136"/>
      <c r="BD3" s="156" t="s">
        <v>9</v>
      </c>
      <c r="BE3" s="146"/>
      <c r="BF3" s="153" t="s">
        <v>8</v>
      </c>
      <c r="BG3" s="146"/>
      <c r="BH3" s="153" t="s">
        <v>8</v>
      </c>
      <c r="BI3" s="9"/>
      <c r="BJ3" s="156" t="s">
        <v>9</v>
      </c>
      <c r="BK3" s="146"/>
      <c r="BL3" s="153" t="s">
        <v>8</v>
      </c>
      <c r="BM3" s="146"/>
      <c r="BN3" s="153" t="s">
        <v>8</v>
      </c>
      <c r="BR3" s="142"/>
    </row>
    <row r="4" spans="1:70" s="7" customFormat="1" ht="11.25" x14ac:dyDescent="0.2">
      <c r="A4" s="514"/>
      <c r="B4" s="159" t="s">
        <v>2</v>
      </c>
      <c r="C4" s="160"/>
      <c r="D4" s="529" t="s">
        <v>2</v>
      </c>
      <c r="E4" s="142"/>
      <c r="F4" s="529" t="s">
        <v>2</v>
      </c>
      <c r="G4" s="142"/>
      <c r="H4" s="159" t="s">
        <v>2</v>
      </c>
      <c r="I4" s="160"/>
      <c r="J4" s="529" t="s">
        <v>2</v>
      </c>
      <c r="K4" s="142"/>
      <c r="L4" s="529" t="s">
        <v>2</v>
      </c>
      <c r="M4" s="142"/>
      <c r="N4" s="159" t="s">
        <v>2</v>
      </c>
      <c r="O4" s="537"/>
      <c r="P4" s="529" t="s">
        <v>2</v>
      </c>
      <c r="Q4" s="142"/>
      <c r="R4" s="157" t="s">
        <v>2</v>
      </c>
      <c r="S4" s="160"/>
      <c r="T4" s="159" t="s">
        <v>2</v>
      </c>
      <c r="U4" s="160"/>
      <c r="V4" s="529" t="s">
        <v>2</v>
      </c>
      <c r="W4" s="142"/>
      <c r="X4" s="559" t="s">
        <v>2</v>
      </c>
      <c r="Y4" s="160"/>
      <c r="Z4" s="159" t="s">
        <v>2</v>
      </c>
      <c r="AA4" s="160"/>
      <c r="AB4" s="529" t="s">
        <v>2</v>
      </c>
      <c r="AC4" s="142"/>
      <c r="AD4" s="529" t="s">
        <v>2</v>
      </c>
      <c r="AE4" s="160"/>
      <c r="AF4" s="159" t="s">
        <v>2</v>
      </c>
      <c r="AG4" s="160"/>
      <c r="AH4" s="529" t="s">
        <v>2</v>
      </c>
      <c r="AI4" s="142"/>
      <c r="AJ4" s="157" t="s">
        <v>2</v>
      </c>
      <c r="AK4" s="160"/>
      <c r="AL4" s="159" t="s">
        <v>2</v>
      </c>
      <c r="AM4" s="160"/>
      <c r="AN4" s="157" t="s">
        <v>2</v>
      </c>
      <c r="AO4" s="160"/>
      <c r="AP4" s="529" t="s">
        <v>2</v>
      </c>
      <c r="AQ4" s="177"/>
      <c r="AR4" s="159" t="s">
        <v>2</v>
      </c>
      <c r="AS4" s="537"/>
      <c r="AT4" s="529" t="s">
        <v>2</v>
      </c>
      <c r="AU4" s="177"/>
      <c r="AV4" s="529" t="s">
        <v>2</v>
      </c>
      <c r="AW4" s="142"/>
      <c r="AX4" s="159" t="s">
        <v>2</v>
      </c>
      <c r="AY4" s="160"/>
      <c r="AZ4" s="529" t="s">
        <v>2</v>
      </c>
      <c r="BA4" s="178"/>
      <c r="BB4" s="524" t="s">
        <v>2</v>
      </c>
      <c r="BD4" s="159" t="s">
        <v>2</v>
      </c>
      <c r="BE4" s="160"/>
      <c r="BF4" s="157" t="s">
        <v>2</v>
      </c>
      <c r="BG4" s="160"/>
      <c r="BH4" s="157" t="s">
        <v>2</v>
      </c>
      <c r="BI4" s="161"/>
      <c r="BJ4" s="159" t="s">
        <v>2</v>
      </c>
      <c r="BK4" s="160"/>
      <c r="BL4" s="157" t="s">
        <v>2</v>
      </c>
      <c r="BM4" s="160"/>
      <c r="BN4" s="157" t="s">
        <v>2</v>
      </c>
      <c r="BR4" s="142"/>
    </row>
    <row r="5" spans="1:70" s="7" customFormat="1" ht="11.25" x14ac:dyDescent="0.2">
      <c r="A5" s="142"/>
      <c r="B5" s="14"/>
      <c r="C5" s="177"/>
      <c r="D5" s="178"/>
      <c r="E5" s="142"/>
      <c r="F5" s="178"/>
      <c r="G5" s="142"/>
      <c r="H5" s="14"/>
      <c r="I5" s="177"/>
      <c r="J5" s="178"/>
      <c r="K5" s="142"/>
      <c r="L5" s="178"/>
      <c r="M5" s="142"/>
      <c r="N5" s="14"/>
      <c r="O5" s="177"/>
      <c r="P5" s="178"/>
      <c r="Q5" s="142"/>
      <c r="R5" s="178"/>
      <c r="S5" s="177"/>
      <c r="T5" s="14"/>
      <c r="U5" s="177"/>
      <c r="V5" s="178"/>
      <c r="W5" s="142"/>
      <c r="X5" s="178"/>
      <c r="Y5" s="177"/>
      <c r="Z5" s="14"/>
      <c r="AA5" s="177"/>
      <c r="AB5" s="178"/>
      <c r="AC5" s="142"/>
      <c r="AD5" s="178"/>
      <c r="AE5" s="177"/>
      <c r="AF5" s="14"/>
      <c r="AG5" s="177"/>
      <c r="AH5" s="178"/>
      <c r="AI5" s="142"/>
      <c r="AJ5" s="178"/>
      <c r="AK5" s="177"/>
      <c r="AL5" s="14"/>
      <c r="AM5" s="177"/>
      <c r="AN5" s="178"/>
      <c r="AO5" s="177"/>
      <c r="AP5" s="178"/>
      <c r="AQ5" s="177"/>
      <c r="AR5" s="14"/>
      <c r="AS5" s="177"/>
      <c r="AT5" s="178"/>
      <c r="AU5" s="177"/>
      <c r="AV5" s="178"/>
      <c r="AW5" s="142"/>
      <c r="AX5" s="14"/>
      <c r="AY5" s="177"/>
      <c r="AZ5" s="178"/>
      <c r="BA5" s="178"/>
      <c r="BB5" s="178"/>
      <c r="BC5" s="177"/>
      <c r="BD5" s="14"/>
      <c r="BE5" s="177"/>
      <c r="BF5" s="178"/>
      <c r="BG5" s="177"/>
      <c r="BH5" s="178"/>
      <c r="BJ5" s="14"/>
      <c r="BK5" s="177"/>
      <c r="BL5" s="178"/>
      <c r="BM5" s="177"/>
      <c r="BN5" s="178"/>
      <c r="BR5" s="142"/>
    </row>
    <row r="6" spans="1:70" s="7" customFormat="1" ht="11.25" x14ac:dyDescent="0.2">
      <c r="A6" s="149" t="s">
        <v>155</v>
      </c>
      <c r="B6" s="14"/>
      <c r="C6" s="177"/>
      <c r="D6" s="178"/>
      <c r="E6" s="142"/>
      <c r="F6" s="178"/>
      <c r="G6" s="142"/>
      <c r="H6" s="14"/>
      <c r="I6" s="177"/>
      <c r="J6" s="178"/>
      <c r="K6" s="142"/>
      <c r="L6" s="178"/>
      <c r="M6" s="142"/>
      <c r="N6" s="14"/>
      <c r="O6" s="177"/>
      <c r="P6" s="178"/>
      <c r="Q6" s="142"/>
      <c r="R6" s="178"/>
      <c r="S6" s="177"/>
      <c r="T6" s="14"/>
      <c r="U6" s="177"/>
      <c r="V6" s="178"/>
      <c r="W6" s="142"/>
      <c r="X6" s="178"/>
      <c r="Y6" s="177"/>
      <c r="Z6" s="14"/>
      <c r="AA6" s="177"/>
      <c r="AB6" s="178"/>
      <c r="AC6" s="142"/>
      <c r="AD6" s="178"/>
      <c r="AE6" s="177"/>
      <c r="AF6" s="14"/>
      <c r="AG6" s="177"/>
      <c r="AH6" s="178"/>
      <c r="AI6" s="142"/>
      <c r="AJ6" s="178"/>
      <c r="AK6" s="177"/>
      <c r="AL6" s="14"/>
      <c r="AM6" s="177"/>
      <c r="AN6" s="178"/>
      <c r="AO6" s="177"/>
      <c r="AP6" s="178"/>
      <c r="AQ6" s="177"/>
      <c r="AR6" s="14"/>
      <c r="AS6" s="177"/>
      <c r="AT6" s="178"/>
      <c r="AU6" s="177"/>
      <c r="AV6" s="178"/>
      <c r="AW6" s="142"/>
      <c r="AX6" s="14"/>
      <c r="AY6" s="177"/>
      <c r="AZ6" s="178"/>
      <c r="BA6" s="178"/>
      <c r="BB6" s="178"/>
      <c r="BC6" s="177"/>
      <c r="BD6" s="14"/>
      <c r="BE6" s="177"/>
      <c r="BF6" s="178"/>
      <c r="BG6" s="177"/>
      <c r="BH6" s="178"/>
      <c r="BJ6" s="14"/>
      <c r="BK6" s="177"/>
      <c r="BL6" s="178"/>
      <c r="BM6" s="177"/>
      <c r="BN6" s="178"/>
      <c r="BR6" s="142"/>
    </row>
    <row r="7" spans="1:70" s="7" customFormat="1" ht="11.25" x14ac:dyDescent="0.2">
      <c r="A7" s="142" t="s">
        <v>43</v>
      </c>
      <c r="B7" s="14"/>
      <c r="C7" s="177"/>
      <c r="D7" s="107">
        <f>ROUND(B7,1)-ROUND(F7,1)</f>
        <v>-880.1</v>
      </c>
      <c r="E7" s="142"/>
      <c r="F7" s="13">
        <v>880.1</v>
      </c>
      <c r="G7" s="142"/>
      <c r="H7" s="14">
        <v>1812.9</v>
      </c>
      <c r="I7" s="177"/>
      <c r="J7" s="107">
        <f>ROUND(H7,1)-ROUND(L7,1)</f>
        <v>1197.5</v>
      </c>
      <c r="K7" s="142"/>
      <c r="L7" s="107">
        <v>615.4</v>
      </c>
      <c r="M7" s="142"/>
      <c r="N7" s="14">
        <v>1926.2</v>
      </c>
      <c r="O7" s="177"/>
      <c r="P7" s="107">
        <f>ROUND(N7,1)-ROUND(R7,1)</f>
        <v>1110.2</v>
      </c>
      <c r="Q7" s="142"/>
      <c r="R7" s="107">
        <v>815.95</v>
      </c>
      <c r="S7" s="177"/>
      <c r="T7" s="14">
        <v>1850.5</v>
      </c>
      <c r="U7" s="177"/>
      <c r="V7" s="107">
        <v>1025</v>
      </c>
      <c r="W7" s="142"/>
      <c r="X7" s="107">
        <v>825.5</v>
      </c>
      <c r="Y7" s="177"/>
      <c r="Z7" s="14">
        <v>2005</v>
      </c>
      <c r="AA7" s="177"/>
      <c r="AB7" s="107">
        <v>1311.854</v>
      </c>
      <c r="AC7" s="142"/>
      <c r="AD7" s="107">
        <v>693.14599999999996</v>
      </c>
      <c r="AE7" s="177"/>
      <c r="AF7" s="14">
        <v>2002</v>
      </c>
      <c r="AG7" s="177"/>
      <c r="AH7" s="178">
        <v>1224</v>
      </c>
      <c r="AI7" s="178"/>
      <c r="AJ7" s="178">
        <v>778</v>
      </c>
      <c r="AK7" s="177"/>
      <c r="AL7" s="14">
        <v>1892</v>
      </c>
      <c r="AM7" s="177"/>
      <c r="AN7" s="178">
        <v>1184.7</v>
      </c>
      <c r="AO7" s="177"/>
      <c r="AP7" s="178">
        <v>707.3</v>
      </c>
      <c r="AQ7" s="177"/>
      <c r="AR7" s="14">
        <v>1728</v>
      </c>
      <c r="AS7" s="177"/>
      <c r="AT7" s="178">
        <v>940</v>
      </c>
      <c r="AU7" s="177"/>
      <c r="AV7" s="178">
        <v>788</v>
      </c>
      <c r="AW7" s="142"/>
      <c r="AX7" s="14">
        <v>1423</v>
      </c>
      <c r="AY7" s="177"/>
      <c r="AZ7" s="178">
        <v>920</v>
      </c>
      <c r="BA7" s="178"/>
      <c r="BB7" s="178">
        <v>503</v>
      </c>
      <c r="BC7" s="177"/>
      <c r="BD7" s="14">
        <v>2012</v>
      </c>
      <c r="BE7" s="177"/>
      <c r="BF7" s="178">
        <f>BD7-BH7</f>
        <v>1065</v>
      </c>
      <c r="BG7" s="177"/>
      <c r="BH7" s="178">
        <v>947</v>
      </c>
      <c r="BJ7" s="14"/>
      <c r="BK7" s="177"/>
      <c r="BL7" s="178"/>
      <c r="BM7" s="177"/>
      <c r="BN7" s="178"/>
      <c r="BR7" s="142"/>
    </row>
    <row r="8" spans="1:70" s="7" customFormat="1" ht="11.25" x14ac:dyDescent="0.2">
      <c r="A8" s="142" t="s">
        <v>150</v>
      </c>
      <c r="B8" s="14"/>
      <c r="C8" s="177"/>
      <c r="D8" s="107"/>
      <c r="E8" s="142"/>
      <c r="F8" s="13"/>
      <c r="G8" s="142"/>
      <c r="H8" s="14"/>
      <c r="I8" s="177"/>
      <c r="J8" s="107"/>
      <c r="K8" s="142"/>
      <c r="L8" s="107"/>
      <c r="M8" s="142"/>
      <c r="N8" s="14"/>
      <c r="O8" s="177"/>
      <c r="P8" s="107"/>
      <c r="Q8" s="142"/>
      <c r="R8" s="107"/>
      <c r="S8" s="177"/>
      <c r="T8" s="14"/>
      <c r="U8" s="177"/>
      <c r="V8" s="107"/>
      <c r="W8" s="142"/>
      <c r="X8" s="107"/>
      <c r="Y8" s="177"/>
      <c r="Z8" s="14"/>
      <c r="AA8" s="177"/>
      <c r="AB8" s="107"/>
      <c r="AC8" s="142"/>
      <c r="AD8" s="107"/>
      <c r="AE8" s="177"/>
      <c r="AF8" s="14"/>
      <c r="AG8" s="177"/>
      <c r="AH8" s="178"/>
      <c r="AI8" s="178"/>
      <c r="AJ8" s="178"/>
      <c r="AK8" s="177"/>
      <c r="AL8" s="14"/>
      <c r="AM8" s="177"/>
      <c r="AN8" s="178"/>
      <c r="AO8" s="177"/>
      <c r="AP8" s="178"/>
      <c r="AQ8" s="177"/>
      <c r="AR8" s="14"/>
      <c r="AS8" s="177"/>
      <c r="AT8" s="178"/>
      <c r="AU8" s="177"/>
      <c r="AV8" s="178"/>
      <c r="AW8" s="142"/>
      <c r="AX8" s="14"/>
      <c r="AY8" s="177"/>
      <c r="AZ8" s="178"/>
      <c r="BA8" s="178"/>
      <c r="BB8" s="178"/>
      <c r="BC8" s="177"/>
      <c r="BD8" s="14"/>
      <c r="BE8" s="177"/>
      <c r="BF8" s="178"/>
      <c r="BG8" s="177"/>
      <c r="BH8" s="178"/>
      <c r="BJ8" s="14"/>
      <c r="BK8" s="177"/>
      <c r="BL8" s="178"/>
      <c r="BM8" s="177"/>
      <c r="BN8" s="178"/>
      <c r="BR8" s="142"/>
    </row>
    <row r="9" spans="1:70" s="7" customFormat="1" ht="11.25" x14ac:dyDescent="0.2">
      <c r="A9" s="179" t="s">
        <v>152</v>
      </c>
      <c r="B9" s="14"/>
      <c r="C9" s="177"/>
      <c r="D9" s="107">
        <f t="shared" ref="D9:D10" si="0">ROUND(B9,1)-ROUND(F9,1)</f>
        <v>-409</v>
      </c>
      <c r="E9" s="142"/>
      <c r="F9" s="13">
        <v>409</v>
      </c>
      <c r="G9" s="142"/>
      <c r="H9" s="14">
        <v>1017.3</v>
      </c>
      <c r="I9" s="177"/>
      <c r="J9" s="107">
        <f t="shared" ref="J9:J13" si="1">ROUND(H9,1)-ROUND(L9,1)</f>
        <v>553.19999999999993</v>
      </c>
      <c r="K9" s="142"/>
      <c r="L9" s="107">
        <v>464.053</v>
      </c>
      <c r="M9" s="142"/>
      <c r="N9" s="14">
        <v>1045.5999999999999</v>
      </c>
      <c r="O9" s="177"/>
      <c r="P9" s="107">
        <f t="shared" ref="P9:P13" si="2">ROUND(N9,1)-ROUND(R9,1)</f>
        <v>571.79999999999995</v>
      </c>
      <c r="Q9" s="142"/>
      <c r="R9" s="107">
        <v>473.8</v>
      </c>
      <c r="S9" s="177"/>
      <c r="T9" s="14">
        <v>774.99800000000005</v>
      </c>
      <c r="U9" s="177"/>
      <c r="V9" s="107">
        <v>403.99800000000005</v>
      </c>
      <c r="W9" s="142"/>
      <c r="X9" s="107">
        <v>371</v>
      </c>
      <c r="Y9" s="177"/>
      <c r="Z9" s="14">
        <v>790</v>
      </c>
      <c r="AA9" s="177"/>
      <c r="AB9" s="107">
        <v>460.03800000000001</v>
      </c>
      <c r="AC9" s="142"/>
      <c r="AD9" s="107">
        <v>329.96199999999999</v>
      </c>
      <c r="AE9" s="177"/>
      <c r="AF9" s="14">
        <v>879</v>
      </c>
      <c r="AG9" s="177"/>
      <c r="AH9" s="178">
        <v>508</v>
      </c>
      <c r="AI9" s="178"/>
      <c r="AJ9" s="178">
        <v>371</v>
      </c>
      <c r="AK9" s="177"/>
      <c r="AL9" s="14">
        <v>929</v>
      </c>
      <c r="AM9" s="177"/>
      <c r="AN9" s="178">
        <v>575.20000000000005</v>
      </c>
      <c r="AO9" s="177"/>
      <c r="AP9" s="178">
        <v>353.8</v>
      </c>
      <c r="AQ9" s="177"/>
      <c r="AR9" s="14">
        <v>902</v>
      </c>
      <c r="AS9" s="177"/>
      <c r="AT9" s="178">
        <v>470</v>
      </c>
      <c r="AU9" s="177"/>
      <c r="AV9" s="178">
        <v>432</v>
      </c>
      <c r="AW9" s="142"/>
      <c r="AX9" s="14">
        <v>824</v>
      </c>
      <c r="AY9" s="177"/>
      <c r="AZ9" s="178">
        <v>508</v>
      </c>
      <c r="BA9" s="178"/>
      <c r="BB9" s="178">
        <v>316</v>
      </c>
      <c r="BC9" s="177"/>
      <c r="BD9" s="14">
        <v>828</v>
      </c>
      <c r="BE9" s="177"/>
      <c r="BF9" s="178">
        <f t="shared" ref="BF9:BF13" si="3">BD9-BH9</f>
        <v>443</v>
      </c>
      <c r="BG9" s="177"/>
      <c r="BH9" s="178">
        <v>385</v>
      </c>
      <c r="BJ9" s="14"/>
      <c r="BK9" s="177"/>
      <c r="BL9" s="178"/>
      <c r="BM9" s="177"/>
      <c r="BN9" s="178"/>
      <c r="BR9" s="142"/>
    </row>
    <row r="10" spans="1:70" s="7" customFormat="1" ht="11.25" x14ac:dyDescent="0.2">
      <c r="A10" s="179" t="s">
        <v>153</v>
      </c>
      <c r="B10" s="14"/>
      <c r="C10" s="177"/>
      <c r="D10" s="107">
        <f t="shared" si="0"/>
        <v>-53.3</v>
      </c>
      <c r="E10" s="142"/>
      <c r="F10" s="13">
        <v>53.3</v>
      </c>
      <c r="G10" s="142"/>
      <c r="H10" s="14">
        <v>78.599999999999994</v>
      </c>
      <c r="I10" s="177"/>
      <c r="J10" s="107">
        <f t="shared" si="1"/>
        <v>44.999999999999993</v>
      </c>
      <c r="K10" s="142"/>
      <c r="L10" s="107">
        <v>33.6</v>
      </c>
      <c r="M10" s="142"/>
      <c r="N10" s="14">
        <v>51.8</v>
      </c>
      <c r="O10" s="177"/>
      <c r="P10" s="107">
        <f t="shared" si="2"/>
        <v>15.799999999999997</v>
      </c>
      <c r="Q10" s="142"/>
      <c r="R10" s="107">
        <v>36</v>
      </c>
      <c r="S10" s="177"/>
      <c r="T10" s="14">
        <v>113.66</v>
      </c>
      <c r="U10" s="177"/>
      <c r="V10" s="107">
        <v>81.66</v>
      </c>
      <c r="W10" s="142"/>
      <c r="X10" s="107">
        <v>32</v>
      </c>
      <c r="Y10" s="177"/>
      <c r="Z10" s="14">
        <v>121</v>
      </c>
      <c r="AA10" s="177"/>
      <c r="AB10" s="107">
        <v>72.134999999999991</v>
      </c>
      <c r="AC10" s="142"/>
      <c r="AD10" s="107">
        <v>48.865000000000002</v>
      </c>
      <c r="AE10" s="177"/>
      <c r="AF10" s="14">
        <v>115</v>
      </c>
      <c r="AG10" s="177"/>
      <c r="AH10" s="178">
        <v>66</v>
      </c>
      <c r="AI10" s="178"/>
      <c r="AJ10" s="178">
        <v>49</v>
      </c>
      <c r="AK10" s="177"/>
      <c r="AL10" s="14">
        <v>84</v>
      </c>
      <c r="AM10" s="177"/>
      <c r="AN10" s="178">
        <v>13.599999999999994</v>
      </c>
      <c r="AO10" s="177"/>
      <c r="AP10" s="178">
        <v>70.400000000000006</v>
      </c>
      <c r="AQ10" s="177"/>
      <c r="AR10" s="14">
        <v>211</v>
      </c>
      <c r="AS10" s="177"/>
      <c r="AT10" s="178">
        <v>126</v>
      </c>
      <c r="AU10" s="177"/>
      <c r="AV10" s="178">
        <v>85</v>
      </c>
      <c r="AW10" s="142"/>
      <c r="AX10" s="14">
        <v>351</v>
      </c>
      <c r="AY10" s="177"/>
      <c r="AZ10" s="178">
        <v>163</v>
      </c>
      <c r="BA10" s="178"/>
      <c r="BB10" s="178">
        <v>188</v>
      </c>
      <c r="BC10" s="177"/>
      <c r="BD10" s="14">
        <v>430</v>
      </c>
      <c r="BE10" s="177"/>
      <c r="BF10" s="178">
        <f t="shared" si="3"/>
        <v>342</v>
      </c>
      <c r="BG10" s="177"/>
      <c r="BH10" s="178">
        <v>88</v>
      </c>
      <c r="BJ10" s="14"/>
      <c r="BK10" s="177"/>
      <c r="BL10" s="178"/>
      <c r="BM10" s="177"/>
      <c r="BN10" s="178"/>
      <c r="BR10" s="142"/>
    </row>
    <row r="11" spans="1:70" s="7" customFormat="1" ht="11.25" x14ac:dyDescent="0.2">
      <c r="A11" s="179" t="s">
        <v>154</v>
      </c>
      <c r="B11" s="14"/>
      <c r="C11" s="177"/>
      <c r="D11" s="107">
        <f>ROUND(B11,1)-ROUND(F11,1)</f>
        <v>-126.2</v>
      </c>
      <c r="E11" s="142"/>
      <c r="F11" s="13">
        <v>126.2</v>
      </c>
      <c r="G11" s="142"/>
      <c r="H11" s="14">
        <v>248</v>
      </c>
      <c r="I11" s="177"/>
      <c r="J11" s="107">
        <f>ROUND(H11,1)-ROUND(L11,1)</f>
        <v>125</v>
      </c>
      <c r="K11" s="142"/>
      <c r="L11" s="107">
        <v>123</v>
      </c>
      <c r="M11" s="142"/>
      <c r="N11" s="14">
        <v>252.3</v>
      </c>
      <c r="O11" s="177"/>
      <c r="P11" s="107">
        <f t="shared" si="2"/>
        <v>127.30000000000001</v>
      </c>
      <c r="Q11" s="142"/>
      <c r="R11" s="107">
        <v>125</v>
      </c>
      <c r="S11" s="177"/>
      <c r="T11" s="14">
        <v>282.8</v>
      </c>
      <c r="U11" s="177"/>
      <c r="V11" s="107">
        <v>153.80000000000001</v>
      </c>
      <c r="W11" s="142"/>
      <c r="X11" s="107">
        <v>129</v>
      </c>
      <c r="Y11" s="177"/>
      <c r="Z11" s="14">
        <v>295</v>
      </c>
      <c r="AA11" s="177"/>
      <c r="AB11" s="107">
        <v>146.989</v>
      </c>
      <c r="AC11" s="142"/>
      <c r="AD11" s="107">
        <v>148.011</v>
      </c>
      <c r="AE11" s="177"/>
      <c r="AF11" s="14">
        <v>323</v>
      </c>
      <c r="AG11" s="177"/>
      <c r="AH11" s="178">
        <v>182</v>
      </c>
      <c r="AI11" s="178"/>
      <c r="AJ11" s="178">
        <v>141</v>
      </c>
      <c r="AK11" s="177"/>
      <c r="AL11" s="14">
        <v>284</v>
      </c>
      <c r="AM11" s="177"/>
      <c r="AN11" s="178">
        <v>154.5</v>
      </c>
      <c r="AO11" s="177"/>
      <c r="AP11" s="178">
        <v>129.5</v>
      </c>
      <c r="AQ11" s="177"/>
      <c r="AR11" s="14">
        <v>251</v>
      </c>
      <c r="AS11" s="177"/>
      <c r="AT11" s="178">
        <v>119</v>
      </c>
      <c r="AU11" s="177"/>
      <c r="AV11" s="178">
        <v>132</v>
      </c>
      <c r="AW11" s="142"/>
      <c r="AX11" s="14">
        <v>275</v>
      </c>
      <c r="AY11" s="177"/>
      <c r="AZ11" s="178">
        <v>129</v>
      </c>
      <c r="BA11" s="178"/>
      <c r="BB11" s="178">
        <v>146</v>
      </c>
      <c r="BC11" s="177"/>
      <c r="BD11" s="14">
        <v>343</v>
      </c>
      <c r="BE11" s="177"/>
      <c r="BF11" s="178">
        <f t="shared" si="3"/>
        <v>161</v>
      </c>
      <c r="BG11" s="177"/>
      <c r="BH11" s="178">
        <v>182</v>
      </c>
      <c r="BJ11" s="14"/>
      <c r="BK11" s="177"/>
      <c r="BL11" s="178"/>
      <c r="BM11" s="177"/>
      <c r="BN11" s="178"/>
      <c r="BR11" s="142"/>
    </row>
    <row r="12" spans="1:70" s="7" customFormat="1" ht="11.25" x14ac:dyDescent="0.2">
      <c r="A12" s="179" t="s">
        <v>3046</v>
      </c>
      <c r="B12" s="14"/>
      <c r="C12" s="177"/>
      <c r="D12" s="107">
        <f t="shared" ref="D12:D13" si="4">ROUND(B12,1)-ROUND(F12,1)</f>
        <v>-750.4</v>
      </c>
      <c r="E12" s="142"/>
      <c r="F12" s="13">
        <v>750.43899999999996</v>
      </c>
      <c r="G12" s="142"/>
      <c r="H12" s="14">
        <v>1782.6</v>
      </c>
      <c r="I12" s="177"/>
      <c r="J12" s="107">
        <f t="shared" si="1"/>
        <v>1041.8999999999999</v>
      </c>
      <c r="K12" s="142"/>
      <c r="L12" s="107">
        <v>740.7</v>
      </c>
      <c r="M12" s="142"/>
      <c r="N12" s="14">
        <v>2044.8789999999999</v>
      </c>
      <c r="O12" s="177"/>
      <c r="P12" s="107">
        <f t="shared" si="2"/>
        <v>1330.9</v>
      </c>
      <c r="Q12" s="142"/>
      <c r="R12" s="107">
        <v>714</v>
      </c>
      <c r="S12" s="107"/>
      <c r="T12" s="14">
        <v>1459</v>
      </c>
      <c r="U12" s="177"/>
      <c r="V12" s="107">
        <v>986</v>
      </c>
      <c r="W12" s="142"/>
      <c r="X12" s="107">
        <v>473</v>
      </c>
      <c r="Y12" s="107"/>
      <c r="Z12" s="14">
        <v>1609</v>
      </c>
      <c r="AA12" s="177"/>
      <c r="AB12" s="107">
        <v>1180</v>
      </c>
      <c r="AC12" s="142"/>
      <c r="AD12" s="107">
        <v>429</v>
      </c>
      <c r="AE12" s="107"/>
      <c r="AF12" s="14">
        <v>2554</v>
      </c>
      <c r="AG12" s="177"/>
      <c r="AH12" s="107">
        <v>2449</v>
      </c>
      <c r="AI12" s="107"/>
      <c r="AJ12" s="107">
        <v>105</v>
      </c>
      <c r="AK12" s="107"/>
      <c r="AL12" s="14">
        <v>2602</v>
      </c>
      <c r="AM12" s="177"/>
      <c r="AN12" s="178">
        <v>2551.4</v>
      </c>
      <c r="AO12" s="177"/>
      <c r="AP12" s="107">
        <v>50.6</v>
      </c>
      <c r="AQ12" s="177"/>
      <c r="AR12" s="14">
        <v>0</v>
      </c>
      <c r="AS12" s="177"/>
      <c r="AT12" s="107">
        <v>0</v>
      </c>
      <c r="AU12" s="107"/>
      <c r="AV12" s="107">
        <v>0</v>
      </c>
      <c r="AW12" s="142"/>
      <c r="AX12" s="14">
        <v>0</v>
      </c>
      <c r="AY12" s="177"/>
      <c r="AZ12" s="107">
        <v>0</v>
      </c>
      <c r="BA12" s="107"/>
      <c r="BB12" s="107">
        <v>0</v>
      </c>
      <c r="BC12" s="177"/>
      <c r="BD12" s="14"/>
      <c r="BE12" s="177"/>
      <c r="BF12" s="178"/>
      <c r="BG12" s="177"/>
      <c r="BH12" s="178"/>
      <c r="BJ12" s="14"/>
      <c r="BK12" s="177"/>
      <c r="BL12" s="178"/>
      <c r="BM12" s="177"/>
      <c r="BN12" s="178"/>
      <c r="BR12" s="142"/>
    </row>
    <row r="13" spans="1:70" s="7" customFormat="1" ht="11.25" x14ac:dyDescent="0.2">
      <c r="A13" s="142" t="s">
        <v>151</v>
      </c>
      <c r="B13" s="14"/>
      <c r="C13" s="177"/>
      <c r="D13" s="107">
        <f t="shared" si="4"/>
        <v>258</v>
      </c>
      <c r="E13" s="142"/>
      <c r="F13" s="13">
        <v>-258</v>
      </c>
      <c r="G13" s="142"/>
      <c r="H13" s="14">
        <v>-347.5</v>
      </c>
      <c r="I13" s="177"/>
      <c r="J13" s="107">
        <f t="shared" si="1"/>
        <v>-101.6</v>
      </c>
      <c r="K13" s="142"/>
      <c r="L13" s="107">
        <v>-245.9</v>
      </c>
      <c r="M13" s="142"/>
      <c r="N13" s="14">
        <v>-424.4</v>
      </c>
      <c r="O13" s="177"/>
      <c r="P13" s="107">
        <f t="shared" si="2"/>
        <v>-105.39999999999998</v>
      </c>
      <c r="Q13" s="142"/>
      <c r="R13" s="107">
        <v>-319</v>
      </c>
      <c r="S13" s="177"/>
      <c r="T13" s="14">
        <v>-337.99599999999998</v>
      </c>
      <c r="U13" s="177"/>
      <c r="V13" s="107">
        <v>-84.995999999999981</v>
      </c>
      <c r="W13" s="142"/>
      <c r="X13" s="107">
        <v>-253</v>
      </c>
      <c r="Y13" s="177"/>
      <c r="Z13" s="14">
        <v>-360</v>
      </c>
      <c r="AA13" s="177"/>
      <c r="AB13" s="107">
        <v>-161.958</v>
      </c>
      <c r="AC13" s="142"/>
      <c r="AD13" s="107">
        <v>-198.042</v>
      </c>
      <c r="AE13" s="177"/>
      <c r="AF13" s="14">
        <v>-264</v>
      </c>
      <c r="AG13" s="177"/>
      <c r="AH13" s="178">
        <v>-106</v>
      </c>
      <c r="AI13" s="178"/>
      <c r="AJ13" s="178">
        <v>-158</v>
      </c>
      <c r="AK13" s="177"/>
      <c r="AL13" s="14">
        <v>-294</v>
      </c>
      <c r="AM13" s="177"/>
      <c r="AN13" s="178">
        <v>-127.5</v>
      </c>
      <c r="AO13" s="177"/>
      <c r="AP13" s="178">
        <v>-166.5</v>
      </c>
      <c r="AQ13" s="177"/>
      <c r="AR13" s="14">
        <v>-286</v>
      </c>
      <c r="AS13" s="177"/>
      <c r="AT13" s="178">
        <v>-58</v>
      </c>
      <c r="AU13" s="177"/>
      <c r="AV13" s="178">
        <v>-228</v>
      </c>
      <c r="AW13" s="142"/>
      <c r="AX13" s="14">
        <v>-235</v>
      </c>
      <c r="AY13" s="177"/>
      <c r="AZ13" s="178">
        <v>-93</v>
      </c>
      <c r="BA13" s="178"/>
      <c r="BB13" s="178">
        <v>-142</v>
      </c>
      <c r="BC13" s="177"/>
      <c r="BD13" s="14">
        <v>-283</v>
      </c>
      <c r="BE13" s="177"/>
      <c r="BF13" s="178">
        <f t="shared" si="3"/>
        <v>-54</v>
      </c>
      <c r="BG13" s="177"/>
      <c r="BH13" s="178">
        <v>-229</v>
      </c>
      <c r="BJ13" s="14"/>
      <c r="BK13" s="177"/>
      <c r="BL13" s="178"/>
      <c r="BM13" s="177"/>
      <c r="BN13" s="178"/>
      <c r="BR13" s="142"/>
    </row>
    <row r="14" spans="1:70" s="7" customFormat="1" ht="11.25" x14ac:dyDescent="0.2">
      <c r="A14" s="142"/>
      <c r="B14" s="18"/>
      <c r="C14" s="142"/>
      <c r="D14" s="142"/>
      <c r="E14" s="142"/>
      <c r="F14" s="142"/>
      <c r="G14" s="142"/>
      <c r="H14" s="18"/>
      <c r="I14" s="142"/>
      <c r="J14" s="142"/>
      <c r="K14" s="142"/>
      <c r="L14" s="142"/>
      <c r="M14" s="142"/>
      <c r="N14" s="18"/>
      <c r="O14" s="142"/>
      <c r="P14" s="142"/>
      <c r="Q14" s="142"/>
      <c r="R14" s="142"/>
      <c r="S14" s="142"/>
      <c r="T14" s="18"/>
      <c r="U14" s="142"/>
      <c r="V14" s="142"/>
      <c r="W14" s="142"/>
      <c r="X14" s="142"/>
      <c r="Y14" s="142"/>
      <c r="Z14" s="18"/>
      <c r="AA14" s="142"/>
      <c r="AB14" s="142"/>
      <c r="AC14" s="142"/>
      <c r="AD14" s="142"/>
      <c r="AE14" s="142"/>
      <c r="AF14" s="18"/>
      <c r="AG14" s="142"/>
      <c r="AH14" s="142"/>
      <c r="AI14" s="142"/>
      <c r="AJ14" s="142"/>
      <c r="AK14" s="142"/>
      <c r="AL14" s="18"/>
      <c r="AM14" s="142"/>
      <c r="AN14" s="142"/>
      <c r="AO14" s="142"/>
      <c r="AP14" s="142"/>
      <c r="AQ14" s="142"/>
      <c r="AR14" s="18"/>
      <c r="AS14" s="142"/>
      <c r="AT14" s="142"/>
      <c r="AU14" s="142"/>
      <c r="AV14" s="142"/>
      <c r="AW14" s="142"/>
      <c r="AX14" s="18"/>
      <c r="AY14" s="142"/>
      <c r="AZ14" s="142"/>
      <c r="BA14" s="142"/>
      <c r="BB14" s="142"/>
      <c r="BC14" s="142"/>
      <c r="BD14" s="18"/>
      <c r="BE14" s="142"/>
      <c r="BF14" s="142"/>
      <c r="BG14" s="142"/>
      <c r="BH14" s="142"/>
      <c r="BJ14" s="18"/>
      <c r="BK14" s="142"/>
      <c r="BL14" s="142"/>
      <c r="BM14" s="142"/>
      <c r="BN14" s="142"/>
      <c r="BR14" s="142"/>
    </row>
    <row r="15" spans="1:70" s="7" customFormat="1" ht="11.25" x14ac:dyDescent="0.2">
      <c r="A15" s="149" t="s">
        <v>12</v>
      </c>
      <c r="B15" s="18"/>
      <c r="C15" s="107"/>
      <c r="D15" s="107"/>
      <c r="E15" s="149"/>
      <c r="F15" s="107"/>
      <c r="G15" s="149"/>
      <c r="H15" s="18"/>
      <c r="I15" s="107"/>
      <c r="J15" s="107"/>
      <c r="K15" s="149"/>
      <c r="L15" s="107"/>
      <c r="M15" s="149"/>
      <c r="N15" s="18"/>
      <c r="O15" s="107"/>
      <c r="P15" s="107"/>
      <c r="Q15" s="149"/>
      <c r="R15" s="107"/>
      <c r="S15" s="107"/>
      <c r="T15" s="18"/>
      <c r="U15" s="107"/>
      <c r="V15" s="107"/>
      <c r="W15" s="149"/>
      <c r="X15" s="107"/>
      <c r="Y15" s="107"/>
      <c r="Z15" s="18"/>
      <c r="AA15" s="107"/>
      <c r="AB15" s="107"/>
      <c r="AC15" s="149"/>
      <c r="AD15" s="107"/>
      <c r="AE15" s="107"/>
      <c r="AF15" s="18"/>
      <c r="AG15" s="107"/>
      <c r="AH15" s="107"/>
      <c r="AI15" s="107"/>
      <c r="AJ15" s="107"/>
      <c r="AK15" s="107"/>
      <c r="AL15" s="18"/>
      <c r="AM15" s="107"/>
      <c r="AN15" s="107"/>
      <c r="AO15" s="107"/>
      <c r="AP15" s="107"/>
      <c r="AQ15" s="142"/>
      <c r="AR15" s="18"/>
      <c r="AS15" s="142"/>
      <c r="AT15" s="107"/>
      <c r="AU15" s="107"/>
      <c r="AV15" s="107"/>
      <c r="AW15" s="142"/>
      <c r="AX15" s="18"/>
      <c r="AY15" s="142"/>
      <c r="AZ15" s="107"/>
      <c r="BA15" s="107"/>
      <c r="BB15" s="107"/>
      <c r="BC15" s="142"/>
      <c r="BD15" s="18"/>
      <c r="BE15" s="142"/>
      <c r="BF15" s="107"/>
      <c r="BG15" s="142"/>
      <c r="BH15" s="142"/>
      <c r="BJ15" s="18"/>
      <c r="BK15" s="142"/>
      <c r="BL15" s="107"/>
      <c r="BM15" s="142"/>
      <c r="BN15" s="142"/>
      <c r="BR15" s="142"/>
    </row>
    <row r="16" spans="1:70" s="7" customFormat="1" ht="11.25" x14ac:dyDescent="0.2">
      <c r="A16" s="142" t="s">
        <v>43</v>
      </c>
      <c r="B16" s="18"/>
      <c r="C16" s="107"/>
      <c r="D16" s="107">
        <f t="shared" ref="D16:D19" si="5">ROUND(B16,1)-ROUND(F16,1)</f>
        <v>-406.6</v>
      </c>
      <c r="E16" s="142"/>
      <c r="F16" s="107">
        <v>406.58102051999998</v>
      </c>
      <c r="G16" s="142"/>
      <c r="H16" s="18">
        <v>906.1</v>
      </c>
      <c r="I16" s="107"/>
      <c r="J16" s="107">
        <f t="shared" ref="J16:J19" si="6">ROUND(H16,1)-ROUND(L16,1)</f>
        <v>568.1</v>
      </c>
      <c r="K16" s="142"/>
      <c r="L16" s="107">
        <v>337.98060560000005</v>
      </c>
      <c r="M16" s="142"/>
      <c r="N16" s="18">
        <v>1034.50080026</v>
      </c>
      <c r="O16" s="107"/>
      <c r="P16" s="107">
        <f t="shared" ref="P16:P19" si="7">ROUND(N16,1)-ROUND(R16,1)</f>
        <v>606.9</v>
      </c>
      <c r="Q16" s="142"/>
      <c r="R16" s="107">
        <v>427.55809195999996</v>
      </c>
      <c r="S16" s="107"/>
      <c r="T16" s="18">
        <v>953.18167383000002</v>
      </c>
      <c r="U16" s="107"/>
      <c r="V16" s="107">
        <v>540.21919262999995</v>
      </c>
      <c r="W16" s="142"/>
      <c r="X16" s="107">
        <v>412.96248120000001</v>
      </c>
      <c r="Y16" s="107"/>
      <c r="Z16" s="18">
        <v>1095.4368164</v>
      </c>
      <c r="AA16" s="107"/>
      <c r="AB16" s="107">
        <v>704.2</v>
      </c>
      <c r="AC16" s="142"/>
      <c r="AD16" s="107">
        <v>391.17318592999999</v>
      </c>
      <c r="AE16" s="107"/>
      <c r="AF16" s="18">
        <v>1159.0606494900001</v>
      </c>
      <c r="AG16" s="107"/>
      <c r="AH16" s="107">
        <v>717.06064949000006</v>
      </c>
      <c r="AI16" s="107"/>
      <c r="AJ16" s="107">
        <v>442</v>
      </c>
      <c r="AK16" s="107"/>
      <c r="AL16" s="18">
        <v>1185.5</v>
      </c>
      <c r="AM16" s="107"/>
      <c r="AN16" s="107">
        <v>762.1</v>
      </c>
      <c r="AO16" s="107"/>
      <c r="AP16" s="107">
        <v>423.4</v>
      </c>
      <c r="AQ16" s="142"/>
      <c r="AR16" s="18">
        <v>885.9</v>
      </c>
      <c r="AS16" s="142"/>
      <c r="AT16" s="107">
        <v>506.79999999999995</v>
      </c>
      <c r="AU16" s="107"/>
      <c r="AV16" s="107">
        <v>379.1</v>
      </c>
      <c r="AW16" s="142"/>
      <c r="AX16" s="18">
        <v>950.2</v>
      </c>
      <c r="AY16" s="142"/>
      <c r="AZ16" s="107">
        <v>565.70000000000005</v>
      </c>
      <c r="BA16" s="107"/>
      <c r="BB16" s="107">
        <v>384.5</v>
      </c>
      <c r="BC16" s="142"/>
      <c r="BD16" s="18">
        <v>1342</v>
      </c>
      <c r="BE16" s="142"/>
      <c r="BF16" s="107">
        <f>BD16-BH16</f>
        <v>817.7</v>
      </c>
      <c r="BG16" s="142"/>
      <c r="BH16" s="107">
        <v>524.29999999999995</v>
      </c>
      <c r="BJ16" s="18"/>
      <c r="BK16" s="142"/>
      <c r="BL16" s="107"/>
      <c r="BM16" s="142"/>
      <c r="BN16" s="107"/>
      <c r="BR16" s="142"/>
    </row>
    <row r="17" spans="1:70" s="7" customFormat="1" ht="11.25" x14ac:dyDescent="0.2">
      <c r="A17" s="142" t="s">
        <v>150</v>
      </c>
      <c r="B17" s="18"/>
      <c r="C17" s="107"/>
      <c r="D17" s="107">
        <f t="shared" si="5"/>
        <v>-243.7</v>
      </c>
      <c r="E17" s="142"/>
      <c r="F17" s="107">
        <v>243.70454983666301</v>
      </c>
      <c r="G17" s="142"/>
      <c r="H17" s="18">
        <v>631.76975847118297</v>
      </c>
      <c r="I17" s="107"/>
      <c r="J17" s="107">
        <f t="shared" si="6"/>
        <v>312.29999999999995</v>
      </c>
      <c r="K17" s="142"/>
      <c r="L17" s="107">
        <v>319.47421565222504</v>
      </c>
      <c r="M17" s="142"/>
      <c r="N17" s="18">
        <v>755.20775091401504</v>
      </c>
      <c r="O17" s="107"/>
      <c r="P17" s="107">
        <f t="shared" si="7"/>
        <v>412.6</v>
      </c>
      <c r="Q17" s="142"/>
      <c r="R17" s="107">
        <v>342.57487622947798</v>
      </c>
      <c r="S17" s="107"/>
      <c r="T17" s="18">
        <v>542.832236266123</v>
      </c>
      <c r="U17" s="107"/>
      <c r="V17" s="107">
        <v>285.86911746560799</v>
      </c>
      <c r="W17" s="142"/>
      <c r="X17" s="107">
        <v>256.863118800515</v>
      </c>
      <c r="Y17" s="107"/>
      <c r="Z17" s="18">
        <v>562.89283790151001</v>
      </c>
      <c r="AA17" s="107"/>
      <c r="AB17" s="107">
        <v>313.53412243385799</v>
      </c>
      <c r="AC17" s="142"/>
      <c r="AD17" s="107">
        <v>249.35871546765199</v>
      </c>
      <c r="AE17" s="107"/>
      <c r="AF17" s="18">
        <v>731.87274511067289</v>
      </c>
      <c r="AG17" s="107"/>
      <c r="AH17" s="107">
        <v>369.57274511067288</v>
      </c>
      <c r="AI17" s="107"/>
      <c r="AJ17" s="107">
        <v>362.3</v>
      </c>
      <c r="AK17" s="107"/>
      <c r="AL17" s="18">
        <v>877.6</v>
      </c>
      <c r="AM17" s="107"/>
      <c r="AN17" s="107">
        <v>537.20000000000005</v>
      </c>
      <c r="AO17" s="107"/>
      <c r="AP17" s="107">
        <v>340.4</v>
      </c>
      <c r="AQ17" s="142"/>
      <c r="AR17" s="18">
        <v>647.1</v>
      </c>
      <c r="AS17" s="142"/>
      <c r="AT17" s="107">
        <v>367.20000000000005</v>
      </c>
      <c r="AU17" s="107"/>
      <c r="AV17" s="107">
        <v>279.89999999999998</v>
      </c>
      <c r="AW17" s="142"/>
      <c r="AX17" s="18">
        <v>777.5</v>
      </c>
      <c r="AY17" s="142"/>
      <c r="AZ17" s="107">
        <v>377.5</v>
      </c>
      <c r="BA17" s="107"/>
      <c r="BB17" s="107">
        <v>400</v>
      </c>
      <c r="BC17" s="142"/>
      <c r="BD17" s="18">
        <v>1280.5</v>
      </c>
      <c r="BE17" s="142"/>
      <c r="BF17" s="107">
        <f>BD17-BH17</f>
        <v>856.8</v>
      </c>
      <c r="BG17" s="142"/>
      <c r="BH17" s="107">
        <v>423.7</v>
      </c>
      <c r="BJ17" s="18"/>
      <c r="BK17" s="142"/>
      <c r="BL17" s="107"/>
      <c r="BM17" s="142"/>
      <c r="BN17" s="107"/>
      <c r="BR17" s="142"/>
    </row>
    <row r="18" spans="1:70" s="7" customFormat="1" ht="11.25" x14ac:dyDescent="0.2">
      <c r="A18" s="142" t="s">
        <v>3034</v>
      </c>
      <c r="B18" s="18"/>
      <c r="C18" s="107"/>
      <c r="D18" s="107">
        <f t="shared" si="5"/>
        <v>120.9</v>
      </c>
      <c r="E18" s="107"/>
      <c r="F18" s="107">
        <v>-120.91500094050073</v>
      </c>
      <c r="G18" s="107"/>
      <c r="H18" s="18">
        <v>-196</v>
      </c>
      <c r="I18" s="107"/>
      <c r="J18" s="107">
        <f t="shared" si="6"/>
        <v>-65.900000000000006</v>
      </c>
      <c r="K18" s="107"/>
      <c r="L18" s="107">
        <v>-130.13606050269362</v>
      </c>
      <c r="M18" s="107"/>
      <c r="N18" s="18">
        <v>-278.84756793592891</v>
      </c>
      <c r="O18" s="107"/>
      <c r="P18" s="107">
        <f t="shared" si="7"/>
        <v>-72.100000000000023</v>
      </c>
      <c r="Q18" s="107"/>
      <c r="R18" s="107">
        <v>-206.66323940398237</v>
      </c>
      <c r="S18" s="107"/>
      <c r="T18" s="18">
        <v>-194.3938859526786</v>
      </c>
      <c r="U18" s="107"/>
      <c r="V18" s="107">
        <v>-51.555345389514997</v>
      </c>
      <c r="W18" s="107"/>
      <c r="X18" s="107">
        <v>-142.8385405631636</v>
      </c>
      <c r="Y18" s="107"/>
      <c r="Z18" s="18">
        <v>-192.9</v>
      </c>
      <c r="AA18" s="107"/>
      <c r="AB18" s="107">
        <v>-87</v>
      </c>
      <c r="AC18" s="107"/>
      <c r="AD18" s="107">
        <v>-105.91834724128179</v>
      </c>
      <c r="AE18" s="107"/>
      <c r="AF18" s="18">
        <v>-160.259744863577</v>
      </c>
      <c r="AG18" s="107"/>
      <c r="AH18" s="107">
        <v>-63.059744863576995</v>
      </c>
      <c r="AI18" s="107"/>
      <c r="AJ18" s="107">
        <v>-97.2</v>
      </c>
      <c r="AK18" s="107"/>
      <c r="AL18" s="18">
        <v>-193.8</v>
      </c>
      <c r="AM18" s="107"/>
      <c r="AN18" s="107">
        <v>-82.9</v>
      </c>
      <c r="AO18" s="107"/>
      <c r="AP18" s="107">
        <v>-110.9</v>
      </c>
      <c r="AQ18" s="142"/>
      <c r="AR18" s="18">
        <v>-145.4</v>
      </c>
      <c r="AS18" s="142"/>
      <c r="AT18" s="107">
        <v>-34.300000000000011</v>
      </c>
      <c r="AU18" s="107"/>
      <c r="AV18" s="107">
        <v>-111.1</v>
      </c>
      <c r="AW18" s="142"/>
      <c r="AX18" s="18">
        <v>-136.4</v>
      </c>
      <c r="AY18" s="142"/>
      <c r="AZ18" s="107">
        <v>-49</v>
      </c>
      <c r="BA18" s="107"/>
      <c r="BB18" s="107">
        <v>-87.4</v>
      </c>
      <c r="BC18" s="142"/>
      <c r="BD18" s="18">
        <v>-275.2</v>
      </c>
      <c r="BE18" s="142"/>
      <c r="BF18" s="107">
        <f>BD18-BH18</f>
        <v>-76.5</v>
      </c>
      <c r="BG18" s="142"/>
      <c r="BH18" s="107">
        <v>-198.7</v>
      </c>
      <c r="BJ18" s="18"/>
      <c r="BK18" s="142"/>
      <c r="BL18" s="107"/>
      <c r="BM18" s="142"/>
      <c r="BN18" s="107"/>
      <c r="BR18" s="142"/>
    </row>
    <row r="19" spans="1:70" s="7" customFormat="1" ht="11.25" x14ac:dyDescent="0.2">
      <c r="A19" s="150" t="s">
        <v>13</v>
      </c>
      <c r="B19" s="25"/>
      <c r="C19" s="108"/>
      <c r="D19" s="108">
        <f t="shared" si="5"/>
        <v>-529.4</v>
      </c>
      <c r="E19" s="108"/>
      <c r="F19" s="108">
        <v>529.4</v>
      </c>
      <c r="G19" s="108"/>
      <c r="H19" s="25">
        <v>1341.8697584711831</v>
      </c>
      <c r="I19" s="108"/>
      <c r="J19" s="108">
        <f t="shared" si="6"/>
        <v>814.50000000000011</v>
      </c>
      <c r="K19" s="108"/>
      <c r="L19" s="108">
        <v>527.4</v>
      </c>
      <c r="M19" s="108"/>
      <c r="N19" s="25">
        <v>1510.8609832380862</v>
      </c>
      <c r="O19" s="108"/>
      <c r="P19" s="108">
        <f t="shared" si="7"/>
        <v>947.40000000000009</v>
      </c>
      <c r="Q19" s="108"/>
      <c r="R19" s="108">
        <v>563.46972878549548</v>
      </c>
      <c r="S19" s="108"/>
      <c r="T19" s="25">
        <v>1301.6200241434444</v>
      </c>
      <c r="U19" s="108"/>
      <c r="V19" s="108">
        <v>774.53296470609303</v>
      </c>
      <c r="W19" s="108"/>
      <c r="X19" s="108">
        <v>527.0870594373514</v>
      </c>
      <c r="Y19" s="108"/>
      <c r="Z19" s="25">
        <v>1465.3694273762269</v>
      </c>
      <c r="AA19" s="108"/>
      <c r="AB19" s="108">
        <v>930.7</v>
      </c>
      <c r="AC19" s="108"/>
      <c r="AD19" s="108">
        <v>534.71355415637015</v>
      </c>
      <c r="AE19" s="108"/>
      <c r="AF19" s="25">
        <v>1730.673649737096</v>
      </c>
      <c r="AG19" s="108"/>
      <c r="AH19" s="108">
        <v>1023.573649737096</v>
      </c>
      <c r="AI19" s="108"/>
      <c r="AJ19" s="108">
        <v>707.09999999999991</v>
      </c>
      <c r="AK19" s="108"/>
      <c r="AL19" s="25">
        <v>1869.3</v>
      </c>
      <c r="AM19" s="108"/>
      <c r="AN19" s="108">
        <v>1216.4000000000001</v>
      </c>
      <c r="AO19" s="108"/>
      <c r="AP19" s="108">
        <v>652.9</v>
      </c>
      <c r="AQ19" s="147"/>
      <c r="AR19" s="25">
        <v>1387.6</v>
      </c>
      <c r="AS19" s="147"/>
      <c r="AT19" s="108">
        <v>839.7</v>
      </c>
      <c r="AU19" s="108"/>
      <c r="AV19" s="108">
        <v>547.9</v>
      </c>
      <c r="AW19" s="147"/>
      <c r="AX19" s="25">
        <v>1591.3</v>
      </c>
      <c r="AY19" s="147"/>
      <c r="AZ19" s="108">
        <v>894.2</v>
      </c>
      <c r="BA19" s="108"/>
      <c r="BB19" s="108">
        <f>SUM(BB16:BB18)</f>
        <v>697.1</v>
      </c>
      <c r="BC19" s="147"/>
      <c r="BD19" s="25">
        <f>SUM(BD16:BD18)</f>
        <v>2347.3000000000002</v>
      </c>
      <c r="BE19" s="147"/>
      <c r="BF19" s="108">
        <f>SUM(BF16:BF18)</f>
        <v>1598</v>
      </c>
      <c r="BG19" s="147"/>
      <c r="BH19" s="108">
        <f>SUM(BH16:BH18)</f>
        <v>749.3</v>
      </c>
      <c r="BJ19" s="25"/>
      <c r="BK19" s="147"/>
      <c r="BL19" s="108"/>
      <c r="BM19" s="147"/>
      <c r="BN19" s="108"/>
      <c r="BR19" s="142"/>
    </row>
    <row r="20" spans="1:70" s="7" customFormat="1" ht="11.25" x14ac:dyDescent="0.2">
      <c r="A20" s="150"/>
      <c r="B20" s="18"/>
      <c r="C20" s="107"/>
      <c r="D20" s="107"/>
      <c r="E20" s="107"/>
      <c r="F20" s="107"/>
      <c r="G20" s="107"/>
      <c r="H20" s="18"/>
      <c r="I20" s="107"/>
      <c r="J20" s="107"/>
      <c r="K20" s="107"/>
      <c r="L20" s="107"/>
      <c r="M20" s="107"/>
      <c r="N20" s="18"/>
      <c r="O20" s="107"/>
      <c r="P20" s="107"/>
      <c r="Q20" s="107"/>
      <c r="R20" s="107"/>
      <c r="S20" s="107"/>
      <c r="T20" s="18"/>
      <c r="U20" s="107"/>
      <c r="V20" s="107"/>
      <c r="W20" s="107"/>
      <c r="X20" s="107"/>
      <c r="Y20" s="107"/>
      <c r="Z20" s="18"/>
      <c r="AA20" s="107"/>
      <c r="AB20" s="107"/>
      <c r="AC20" s="107"/>
      <c r="AD20" s="107"/>
      <c r="AE20" s="107"/>
      <c r="AF20" s="18"/>
      <c r="AG20" s="107"/>
      <c r="AH20" s="107"/>
      <c r="AI20" s="107"/>
      <c r="AJ20" s="107"/>
      <c r="AK20" s="107"/>
      <c r="AL20" s="18"/>
      <c r="AM20" s="107"/>
      <c r="AN20" s="107"/>
      <c r="AO20" s="107"/>
      <c r="AP20" s="107"/>
      <c r="AQ20" s="142"/>
      <c r="AR20" s="18"/>
      <c r="AS20" s="142"/>
      <c r="AT20" s="107"/>
      <c r="AU20" s="107"/>
      <c r="AV20" s="107"/>
      <c r="AW20" s="142"/>
      <c r="AX20" s="18"/>
      <c r="AY20" s="142"/>
      <c r="AZ20" s="107"/>
      <c r="BA20" s="107"/>
      <c r="BB20" s="107"/>
      <c r="BC20" s="142"/>
      <c r="BD20" s="18"/>
      <c r="BE20" s="142"/>
      <c r="BF20" s="107"/>
      <c r="BG20" s="142"/>
      <c r="BH20" s="107"/>
      <c r="BJ20" s="18"/>
      <c r="BK20" s="142"/>
      <c r="BL20" s="107"/>
      <c r="BM20" s="142"/>
      <c r="BN20" s="107"/>
      <c r="BR20" s="142"/>
    </row>
    <row r="21" spans="1:70" s="7" customFormat="1" ht="11.25" x14ac:dyDescent="0.2">
      <c r="A21" s="142" t="s">
        <v>46</v>
      </c>
      <c r="B21" s="18"/>
      <c r="C21" s="107"/>
      <c r="D21" s="107">
        <f t="shared" ref="D21:D24" si="8">ROUND(B21,1)-ROUND(F21,1)</f>
        <v>-591</v>
      </c>
      <c r="E21" s="107"/>
      <c r="F21" s="107">
        <v>591.02962119750202</v>
      </c>
      <c r="G21" s="107"/>
      <c r="H21" s="18">
        <v>1150.5992781306002</v>
      </c>
      <c r="I21" s="107"/>
      <c r="J21" s="107">
        <f t="shared" ref="J21:J24" si="9">ROUND(H21,1)-ROUND(L21,1)</f>
        <v>569.79999999999995</v>
      </c>
      <c r="K21" s="107"/>
      <c r="L21" s="107">
        <v>580.84267840424206</v>
      </c>
      <c r="M21" s="107"/>
      <c r="N21" s="18">
        <v>1268.7495747365899</v>
      </c>
      <c r="O21" s="107"/>
      <c r="P21" s="107">
        <f t="shared" ref="P21:P24" si="10">ROUND(N21,1)-ROUND(R21,1)</f>
        <v>644.40000000000009</v>
      </c>
      <c r="Q21" s="107"/>
      <c r="R21" s="107">
        <v>624.32582298705006</v>
      </c>
      <c r="S21" s="107"/>
      <c r="T21" s="18">
        <v>1205.20507464876</v>
      </c>
      <c r="U21" s="107"/>
      <c r="V21" s="107">
        <v>631.07628319845799</v>
      </c>
      <c r="W21" s="107"/>
      <c r="X21" s="107">
        <v>574.12879145030206</v>
      </c>
      <c r="Y21" s="107"/>
      <c r="Z21" s="18">
        <v>1127.7</v>
      </c>
      <c r="AA21" s="107"/>
      <c r="AB21" s="107">
        <v>601.4</v>
      </c>
      <c r="AC21" s="107"/>
      <c r="AD21" s="107">
        <v>526.29999999999995</v>
      </c>
      <c r="AE21" s="107"/>
      <c r="AF21" s="18">
        <v>1172.1674961470599</v>
      </c>
      <c r="AG21" s="107"/>
      <c r="AH21" s="107">
        <v>601.66749614705986</v>
      </c>
      <c r="AI21" s="107"/>
      <c r="AJ21" s="107">
        <v>570.5</v>
      </c>
      <c r="AK21" s="107"/>
      <c r="AL21" s="18">
        <v>1172.5</v>
      </c>
      <c r="AM21" s="107"/>
      <c r="AN21" s="107">
        <v>622.4</v>
      </c>
      <c r="AO21" s="107"/>
      <c r="AP21" s="107">
        <v>550.1</v>
      </c>
      <c r="AQ21" s="142"/>
      <c r="AR21" s="18">
        <v>1092.5</v>
      </c>
      <c r="AS21" s="142"/>
      <c r="AT21" s="107">
        <v>618.9</v>
      </c>
      <c r="AU21" s="107"/>
      <c r="AV21" s="107">
        <v>473.6</v>
      </c>
      <c r="AW21" s="142"/>
      <c r="AX21" s="18">
        <v>1388.4048984391206</v>
      </c>
      <c r="AY21" s="142"/>
      <c r="AZ21" s="107">
        <v>594.80489843912062</v>
      </c>
      <c r="BA21" s="107"/>
      <c r="BB21" s="107">
        <v>793.6</v>
      </c>
      <c r="BC21" s="142"/>
      <c r="BD21" s="18">
        <v>455.25265252046034</v>
      </c>
      <c r="BE21" s="142"/>
      <c r="BF21" s="107">
        <f>BD21-BH21</f>
        <v>455.25265252046034</v>
      </c>
      <c r="BG21" s="142"/>
      <c r="BH21" s="107">
        <v>0</v>
      </c>
      <c r="BJ21" s="18"/>
      <c r="BK21" s="142"/>
      <c r="BL21" s="107"/>
      <c r="BM21" s="142"/>
      <c r="BN21" s="107"/>
      <c r="BR21" s="142"/>
    </row>
    <row r="22" spans="1:70" s="7" customFormat="1" ht="11.25" x14ac:dyDescent="0.2">
      <c r="A22" s="142" t="s">
        <v>47</v>
      </c>
      <c r="B22" s="18"/>
      <c r="C22" s="107"/>
      <c r="D22" s="107">
        <f t="shared" si="8"/>
        <v>-444.9</v>
      </c>
      <c r="E22" s="107"/>
      <c r="F22" s="107">
        <v>444.931451460809</v>
      </c>
      <c r="G22" s="107"/>
      <c r="H22" s="18">
        <v>920.8</v>
      </c>
      <c r="I22" s="107"/>
      <c r="J22" s="107">
        <f t="shared" si="9"/>
        <v>474.09999999999997</v>
      </c>
      <c r="K22" s="107"/>
      <c r="L22" s="107">
        <v>446.74812216529602</v>
      </c>
      <c r="M22" s="107"/>
      <c r="N22" s="18">
        <v>910.84335724857601</v>
      </c>
      <c r="O22" s="107"/>
      <c r="P22" s="107">
        <f t="shared" si="10"/>
        <v>483.09999999999997</v>
      </c>
      <c r="Q22" s="107"/>
      <c r="R22" s="107">
        <v>427.70400056889804</v>
      </c>
      <c r="S22" s="107"/>
      <c r="T22" s="18">
        <v>897.03229510387507</v>
      </c>
      <c r="U22" s="107"/>
      <c r="V22" s="107">
        <v>463.25971877179006</v>
      </c>
      <c r="W22" s="107"/>
      <c r="X22" s="107">
        <v>433.67257633208499</v>
      </c>
      <c r="Y22" s="107"/>
      <c r="Z22" s="18">
        <v>862.3</v>
      </c>
      <c r="AA22" s="107"/>
      <c r="AB22" s="107">
        <v>467</v>
      </c>
      <c r="AC22" s="107"/>
      <c r="AD22" s="107">
        <v>395.3</v>
      </c>
      <c r="AE22" s="107"/>
      <c r="AF22" s="18">
        <v>626.40666725659594</v>
      </c>
      <c r="AG22" s="107"/>
      <c r="AH22" s="107">
        <v>340.80666725659592</v>
      </c>
      <c r="AI22" s="107"/>
      <c r="AJ22" s="107">
        <v>285.60000000000002</v>
      </c>
      <c r="AK22" s="107"/>
      <c r="AL22" s="18">
        <v>533.1</v>
      </c>
      <c r="AM22" s="107"/>
      <c r="AN22" s="107">
        <v>299</v>
      </c>
      <c r="AO22" s="107"/>
      <c r="AP22" s="107">
        <v>234.1</v>
      </c>
      <c r="AQ22" s="142"/>
      <c r="AR22" s="18">
        <v>499.8</v>
      </c>
      <c r="AS22" s="142"/>
      <c r="AT22" s="107">
        <v>261.70000000000005</v>
      </c>
      <c r="AU22" s="107"/>
      <c r="AV22" s="107">
        <v>238.1</v>
      </c>
      <c r="AW22" s="142"/>
      <c r="AX22" s="18">
        <v>505.67935551289798</v>
      </c>
      <c r="AY22" s="142"/>
      <c r="AZ22" s="107">
        <v>254.479355512898</v>
      </c>
      <c r="BA22" s="107"/>
      <c r="BB22" s="107">
        <v>251.2</v>
      </c>
      <c r="BC22" s="142"/>
      <c r="BD22" s="18">
        <v>122.47078747072969</v>
      </c>
      <c r="BE22" s="142"/>
      <c r="BF22" s="107">
        <f>BD22-BH22</f>
        <v>122.47078747072969</v>
      </c>
      <c r="BG22" s="142"/>
      <c r="BH22" s="107">
        <v>0</v>
      </c>
      <c r="BJ22" s="18"/>
      <c r="BK22" s="142"/>
      <c r="BL22" s="107"/>
      <c r="BM22" s="142"/>
      <c r="BN22" s="107"/>
      <c r="BR22" s="142"/>
    </row>
    <row r="23" spans="1:70" s="7" customFormat="1" ht="11.25" x14ac:dyDescent="0.2">
      <c r="A23" s="142" t="s">
        <v>48</v>
      </c>
      <c r="B23" s="18"/>
      <c r="C23" s="107"/>
      <c r="D23" s="107">
        <f t="shared" si="8"/>
        <v>22</v>
      </c>
      <c r="E23" s="107"/>
      <c r="F23" s="107">
        <v>-21.963586699253913</v>
      </c>
      <c r="G23" s="107"/>
      <c r="H23" s="18">
        <v>-44.7</v>
      </c>
      <c r="I23" s="107"/>
      <c r="J23" s="107">
        <f t="shared" si="9"/>
        <v>-20.100000000000001</v>
      </c>
      <c r="K23" s="107"/>
      <c r="L23" s="107">
        <v>-24.591150491547495</v>
      </c>
      <c r="M23" s="107"/>
      <c r="N23" s="18">
        <v>-32.601340215182198</v>
      </c>
      <c r="O23" s="107"/>
      <c r="P23" s="107">
        <f t="shared" si="10"/>
        <v>-16</v>
      </c>
      <c r="Q23" s="107"/>
      <c r="R23" s="107">
        <v>-16.569445434918745</v>
      </c>
      <c r="S23" s="107"/>
      <c r="T23" s="18">
        <v>-38.794642906520949</v>
      </c>
      <c r="U23" s="107"/>
      <c r="V23" s="107">
        <v>-18.845766021406071</v>
      </c>
      <c r="W23" s="107"/>
      <c r="X23" s="107">
        <v>-20.048876885114879</v>
      </c>
      <c r="Y23" s="107"/>
      <c r="Z23" s="18">
        <v>-33.4</v>
      </c>
      <c r="AA23" s="107"/>
      <c r="AB23" s="107">
        <v>-18</v>
      </c>
      <c r="AC23" s="107"/>
      <c r="AD23" s="107">
        <v>-15.4</v>
      </c>
      <c r="AE23" s="107"/>
      <c r="AF23" s="18">
        <v>-28.434227259769902</v>
      </c>
      <c r="AG23" s="107"/>
      <c r="AH23" s="107">
        <v>-14.734227259769902</v>
      </c>
      <c r="AI23" s="107"/>
      <c r="AJ23" s="107">
        <v>-13.7</v>
      </c>
      <c r="AK23" s="107"/>
      <c r="AL23" s="18">
        <v>-27.5</v>
      </c>
      <c r="AM23" s="107"/>
      <c r="AN23" s="107">
        <v>-14.8</v>
      </c>
      <c r="AO23" s="107"/>
      <c r="AP23" s="107">
        <v>-12.7</v>
      </c>
      <c r="AQ23" s="142"/>
      <c r="AR23" s="18">
        <v>-48.2</v>
      </c>
      <c r="AS23" s="142"/>
      <c r="AT23" s="107">
        <v>-25.000000000000004</v>
      </c>
      <c r="AU23" s="107"/>
      <c r="AV23" s="107">
        <v>-23.2</v>
      </c>
      <c r="AW23" s="142"/>
      <c r="AX23" s="18">
        <v>-66.498763504771517</v>
      </c>
      <c r="AY23" s="142"/>
      <c r="AZ23" s="107">
        <v>-32.598763504771519</v>
      </c>
      <c r="BA23" s="107"/>
      <c r="BB23" s="107">
        <v>-33.9</v>
      </c>
      <c r="BC23" s="142"/>
      <c r="BD23" s="18">
        <v>-6.8578305241524609</v>
      </c>
      <c r="BE23" s="142"/>
      <c r="BF23" s="107">
        <f>BD23-BH23</f>
        <v>-6.8578305241524609</v>
      </c>
      <c r="BG23" s="142"/>
      <c r="BH23" s="107">
        <v>0</v>
      </c>
      <c r="BJ23" s="18"/>
      <c r="BK23" s="142"/>
      <c r="BL23" s="107"/>
      <c r="BM23" s="142"/>
      <c r="BN23" s="107"/>
      <c r="BR23" s="142"/>
    </row>
    <row r="24" spans="1:70" s="7" customFormat="1" ht="11.25" x14ac:dyDescent="0.2">
      <c r="A24" s="150" t="s">
        <v>49</v>
      </c>
      <c r="B24" s="25"/>
      <c r="C24" s="108"/>
      <c r="D24" s="108">
        <f t="shared" si="8"/>
        <v>-1013.9</v>
      </c>
      <c r="E24" s="108"/>
      <c r="F24" s="108">
        <f t="array" ref="F24">SUM(ROUND(F21:F23,1))</f>
        <v>1013.9000000000001</v>
      </c>
      <c r="G24" s="108"/>
      <c r="H24" s="25">
        <v>2026.6992781306001</v>
      </c>
      <c r="I24" s="108"/>
      <c r="J24" s="108">
        <f t="shared" si="9"/>
        <v>1023.8000000000001</v>
      </c>
      <c r="K24" s="108"/>
      <c r="L24" s="108">
        <v>1002.9</v>
      </c>
      <c r="M24" s="108"/>
      <c r="N24" s="25">
        <v>2146.8915917699837</v>
      </c>
      <c r="O24" s="108"/>
      <c r="P24" s="108">
        <f t="shared" si="10"/>
        <v>1111.5</v>
      </c>
      <c r="Q24" s="108"/>
      <c r="R24" s="108">
        <v>1035.3603781210295</v>
      </c>
      <c r="S24" s="108"/>
      <c r="T24" s="25">
        <v>2063.4427268461141</v>
      </c>
      <c r="U24" s="108"/>
      <c r="V24" s="108">
        <v>1075.5902359488421</v>
      </c>
      <c r="W24" s="108"/>
      <c r="X24" s="108">
        <v>987.7524908972722</v>
      </c>
      <c r="Y24" s="108"/>
      <c r="Z24" s="25">
        <v>1956.5625482599871</v>
      </c>
      <c r="AA24" s="108"/>
      <c r="AB24" s="108">
        <v>1050.3943529902865</v>
      </c>
      <c r="AC24" s="108"/>
      <c r="AD24" s="108">
        <v>906.2</v>
      </c>
      <c r="AE24" s="108"/>
      <c r="AF24" s="25">
        <v>1770.2399361438859</v>
      </c>
      <c r="AG24" s="108"/>
      <c r="AH24" s="108">
        <v>927.83993614388589</v>
      </c>
      <c r="AI24" s="108"/>
      <c r="AJ24" s="108">
        <v>842.4</v>
      </c>
      <c r="AK24" s="108"/>
      <c r="AL24" s="25">
        <v>1678.1</v>
      </c>
      <c r="AM24" s="108"/>
      <c r="AN24" s="108">
        <v>906.6</v>
      </c>
      <c r="AO24" s="108"/>
      <c r="AP24" s="108">
        <v>771.5</v>
      </c>
      <c r="AQ24" s="108"/>
      <c r="AR24" s="25">
        <v>1544.1</v>
      </c>
      <c r="AS24" s="108"/>
      <c r="AT24" s="108">
        <v>855.6</v>
      </c>
      <c r="AU24" s="108"/>
      <c r="AV24" s="108">
        <v>688.5</v>
      </c>
      <c r="AW24" s="108"/>
      <c r="AX24" s="25">
        <v>1827.5854904472471</v>
      </c>
      <c r="AY24" s="108"/>
      <c r="AZ24" s="108">
        <v>816.68549044724705</v>
      </c>
      <c r="BA24" s="108"/>
      <c r="BB24" s="108">
        <f>SUM(BB21:BB23)</f>
        <v>1010.9</v>
      </c>
      <c r="BC24" s="108"/>
      <c r="BD24" s="25">
        <f>SUM(BD21:BD23)</f>
        <v>570.86560946703764</v>
      </c>
      <c r="BE24" s="108"/>
      <c r="BF24" s="108">
        <f>SUM(BF21:BF23)</f>
        <v>570.86560946703764</v>
      </c>
      <c r="BG24" s="108"/>
      <c r="BH24" s="108">
        <f>SUM(BH21:BH23)</f>
        <v>0</v>
      </c>
      <c r="BJ24" s="25"/>
      <c r="BK24" s="108"/>
      <c r="BL24" s="108"/>
      <c r="BM24" s="108"/>
      <c r="BN24" s="108"/>
      <c r="BR24" s="142"/>
    </row>
    <row r="25" spans="1:70" s="7" customFormat="1" ht="11.25" x14ac:dyDescent="0.2">
      <c r="A25" s="150"/>
      <c r="B25" s="18"/>
      <c r="C25" s="107"/>
      <c r="D25" s="107"/>
      <c r="E25" s="107"/>
      <c r="F25" s="107"/>
      <c r="G25" s="107"/>
      <c r="H25" s="18"/>
      <c r="I25" s="107"/>
      <c r="J25" s="107"/>
      <c r="K25" s="107"/>
      <c r="L25" s="107"/>
      <c r="M25" s="107"/>
      <c r="N25" s="18"/>
      <c r="O25" s="107"/>
      <c r="P25" s="107"/>
      <c r="Q25" s="107"/>
      <c r="R25" s="107"/>
      <c r="S25" s="107"/>
      <c r="T25" s="18"/>
      <c r="U25" s="107"/>
      <c r="V25" s="107"/>
      <c r="W25" s="107"/>
      <c r="X25" s="107"/>
      <c r="Y25" s="107"/>
      <c r="Z25" s="18"/>
      <c r="AA25" s="107"/>
      <c r="AB25" s="107"/>
      <c r="AC25" s="107"/>
      <c r="AD25" s="107"/>
      <c r="AE25" s="107"/>
      <c r="AF25" s="18"/>
      <c r="AG25" s="107"/>
      <c r="AH25" s="107"/>
      <c r="AI25" s="107"/>
      <c r="AJ25" s="107"/>
      <c r="AK25" s="107"/>
      <c r="AL25" s="18"/>
      <c r="AM25" s="107"/>
      <c r="AN25" s="107"/>
      <c r="AO25" s="107"/>
      <c r="AP25" s="107"/>
      <c r="AQ25" s="107"/>
      <c r="AR25" s="18"/>
      <c r="AS25" s="107"/>
      <c r="AT25" s="107"/>
      <c r="AU25" s="107"/>
      <c r="AV25" s="107"/>
      <c r="AW25" s="107"/>
      <c r="AX25" s="18"/>
      <c r="AY25" s="107"/>
      <c r="AZ25" s="107"/>
      <c r="BA25" s="107"/>
      <c r="BB25" s="107"/>
      <c r="BC25" s="107"/>
      <c r="BD25" s="18"/>
      <c r="BE25" s="107"/>
      <c r="BF25" s="107"/>
      <c r="BG25" s="107"/>
      <c r="BH25" s="107"/>
      <c r="BJ25" s="18"/>
      <c r="BK25" s="107"/>
      <c r="BL25" s="107"/>
      <c r="BM25" s="107"/>
      <c r="BN25" s="107"/>
      <c r="BR25" s="142"/>
    </row>
    <row r="26" spans="1:70" s="7" customFormat="1" ht="11.25" x14ac:dyDescent="0.2">
      <c r="A26" s="150" t="s">
        <v>3042</v>
      </c>
      <c r="B26" s="18"/>
      <c r="C26" s="107"/>
      <c r="D26" s="107">
        <f>ROUND(B26,1)-ROUND(F26,1)</f>
        <v>7.6</v>
      </c>
      <c r="E26" s="107"/>
      <c r="F26" s="107">
        <v>-7.6323027100000003</v>
      </c>
      <c r="G26" s="107"/>
      <c r="H26" s="18">
        <v>-14.9</v>
      </c>
      <c r="I26" s="107"/>
      <c r="J26" s="107">
        <f>ROUND(H26,1)-ROUND(L26,1)</f>
        <v>-8.6000000000000014</v>
      </c>
      <c r="K26" s="107"/>
      <c r="L26" s="107">
        <v>-6.2526008200000005</v>
      </c>
      <c r="M26" s="107"/>
      <c r="N26" s="18">
        <v>-14.50776033</v>
      </c>
      <c r="O26" s="107"/>
      <c r="P26" s="107">
        <f>ROUND(N26,1)-ROUND(R26,1)</f>
        <v>-10.5</v>
      </c>
      <c r="Q26" s="107"/>
      <c r="R26" s="107">
        <v>-4.0129945600000001</v>
      </c>
      <c r="S26" s="107"/>
      <c r="T26" s="18">
        <v>-12.9986496824725</v>
      </c>
      <c r="U26" s="107"/>
      <c r="V26" s="107">
        <v>-6.5409716099999606</v>
      </c>
      <c r="W26" s="107"/>
      <c r="X26" s="107">
        <v>-6.4576780724725396</v>
      </c>
      <c r="Y26" s="107"/>
      <c r="Z26" s="18">
        <v>-18.3</v>
      </c>
      <c r="AA26" s="107"/>
      <c r="AB26" s="107">
        <v>-4.3465164200000004</v>
      </c>
      <c r="AC26" s="107"/>
      <c r="AD26" s="107">
        <v>-13.98434838</v>
      </c>
      <c r="AE26" s="107"/>
      <c r="AF26" s="18">
        <v>0</v>
      </c>
      <c r="AG26" s="107"/>
      <c r="AH26" s="107">
        <v>1.3</v>
      </c>
      <c r="AI26" s="107"/>
      <c r="AJ26" s="107">
        <v>-1.3</v>
      </c>
      <c r="AK26" s="107"/>
      <c r="AL26" s="18">
        <v>-2.1</v>
      </c>
      <c r="AM26" s="107"/>
      <c r="AN26" s="107">
        <v>-2.1</v>
      </c>
      <c r="AO26" s="107"/>
      <c r="AP26" s="107">
        <v>0</v>
      </c>
      <c r="AQ26" s="107"/>
      <c r="AR26" s="18">
        <v>0</v>
      </c>
      <c r="AS26" s="107"/>
      <c r="AT26" s="107">
        <v>0</v>
      </c>
      <c r="AU26" s="107"/>
      <c r="AV26" s="107">
        <v>0</v>
      </c>
      <c r="AW26" s="107"/>
      <c r="AX26" s="18">
        <v>0</v>
      </c>
      <c r="AY26" s="107"/>
      <c r="AZ26" s="107">
        <v>0</v>
      </c>
      <c r="BA26" s="107"/>
      <c r="BB26" s="107">
        <v>0</v>
      </c>
      <c r="BC26" s="107"/>
      <c r="BD26" s="18"/>
      <c r="BE26" s="107"/>
      <c r="BF26" s="107"/>
      <c r="BG26" s="107"/>
      <c r="BH26" s="107"/>
      <c r="BJ26" s="18"/>
      <c r="BK26" s="107"/>
      <c r="BL26" s="107"/>
      <c r="BM26" s="107"/>
      <c r="BN26" s="107"/>
      <c r="BR26" s="142"/>
    </row>
    <row r="27" spans="1:70" s="7" customFormat="1" ht="11.25" x14ac:dyDescent="0.2">
      <c r="A27" s="150"/>
      <c r="B27" s="18"/>
      <c r="C27" s="107"/>
      <c r="D27" s="107"/>
      <c r="E27" s="107"/>
      <c r="F27" s="107"/>
      <c r="G27" s="107"/>
      <c r="H27" s="18"/>
      <c r="I27" s="107"/>
      <c r="J27" s="107"/>
      <c r="K27" s="107"/>
      <c r="L27" s="107"/>
      <c r="M27" s="107"/>
      <c r="N27" s="18"/>
      <c r="O27" s="107"/>
      <c r="P27" s="107"/>
      <c r="Q27" s="107"/>
      <c r="R27" s="107"/>
      <c r="S27" s="107"/>
      <c r="T27" s="18"/>
      <c r="U27" s="107"/>
      <c r="V27" s="107"/>
      <c r="W27" s="107"/>
      <c r="X27" s="107"/>
      <c r="Y27" s="107"/>
      <c r="Z27" s="18"/>
      <c r="AA27" s="107"/>
      <c r="AB27" s="107"/>
      <c r="AC27" s="107"/>
      <c r="AD27" s="107"/>
      <c r="AE27" s="107"/>
      <c r="AF27" s="18"/>
      <c r="AG27" s="107"/>
      <c r="AH27" s="107"/>
      <c r="AI27" s="107"/>
      <c r="AJ27" s="107"/>
      <c r="AK27" s="107"/>
      <c r="AL27" s="18"/>
      <c r="AM27" s="107"/>
      <c r="AN27" s="107"/>
      <c r="AO27" s="107"/>
      <c r="AP27" s="107"/>
      <c r="AQ27" s="142"/>
      <c r="AR27" s="18"/>
      <c r="AS27" s="142"/>
      <c r="AT27" s="107"/>
      <c r="AU27" s="107"/>
      <c r="AV27" s="107"/>
      <c r="AW27" s="142"/>
      <c r="AX27" s="18"/>
      <c r="AY27" s="142"/>
      <c r="AZ27" s="107"/>
      <c r="BA27" s="107"/>
      <c r="BB27" s="107"/>
      <c r="BC27" s="142"/>
      <c r="BD27" s="18"/>
      <c r="BE27" s="142"/>
      <c r="BF27" s="107"/>
      <c r="BG27" s="142"/>
      <c r="BH27" s="107"/>
      <c r="BJ27" s="18"/>
      <c r="BK27" s="142"/>
      <c r="BL27" s="107"/>
      <c r="BM27" s="142"/>
      <c r="BN27" s="107"/>
      <c r="BR27" s="142"/>
    </row>
    <row r="28" spans="1:70" s="20" customFormat="1" ht="11.25" x14ac:dyDescent="0.2">
      <c r="A28" s="164" t="s">
        <v>50</v>
      </c>
      <c r="B28" s="165"/>
      <c r="C28" s="166"/>
      <c r="D28" s="541">
        <f>ROUND(B28,1)-ROUND(F28,1)</f>
        <v>-1535.7</v>
      </c>
      <c r="E28" s="541"/>
      <c r="F28" s="541">
        <f>F24+F26+F19</f>
        <v>1535.66769729</v>
      </c>
      <c r="G28" s="541">
        <f>G19+G24+G26</f>
        <v>0</v>
      </c>
      <c r="H28" s="165">
        <v>3353.6690366017833</v>
      </c>
      <c r="I28" s="166"/>
      <c r="J28" s="541">
        <f>ROUND(H28,1)-ROUND(L28,1)</f>
        <v>1829.6999999999998</v>
      </c>
      <c r="K28" s="541"/>
      <c r="L28" s="541">
        <v>1524.04739918</v>
      </c>
      <c r="M28" s="541">
        <f>M19+M24+M26</f>
        <v>0</v>
      </c>
      <c r="N28" s="165">
        <v>3643.3448146780697</v>
      </c>
      <c r="O28" s="166"/>
      <c r="P28" s="541">
        <f>ROUND(N28,1)-ROUND(R28,1)</f>
        <v>2048.4</v>
      </c>
      <c r="Q28" s="541"/>
      <c r="R28" s="541">
        <v>1594.9171123465251</v>
      </c>
      <c r="S28" s="541"/>
      <c r="T28" s="165">
        <v>3351.9641013070859</v>
      </c>
      <c r="U28" s="166"/>
      <c r="V28" s="541">
        <v>1843.582229044935</v>
      </c>
      <c r="W28" s="541"/>
      <c r="X28" s="541">
        <v>1508.3818722621511</v>
      </c>
      <c r="Y28" s="541"/>
      <c r="Z28" s="542">
        <v>3403.7011108362135</v>
      </c>
      <c r="AA28" s="541"/>
      <c r="AB28" s="541">
        <v>1976.8</v>
      </c>
      <c r="AC28" s="541"/>
      <c r="AD28" s="541">
        <v>1426.8974010460709</v>
      </c>
      <c r="AE28" s="541"/>
      <c r="AF28" s="542">
        <v>3500.9135858809818</v>
      </c>
      <c r="AG28" s="541"/>
      <c r="AH28" s="541">
        <v>1952.7135858809818</v>
      </c>
      <c r="AI28" s="541"/>
      <c r="AJ28" s="541">
        <v>1548.2</v>
      </c>
      <c r="AK28" s="166"/>
      <c r="AL28" s="165">
        <v>3545.2999999999997</v>
      </c>
      <c r="AM28" s="166"/>
      <c r="AN28" s="166">
        <v>2120.9</v>
      </c>
      <c r="AO28" s="166"/>
      <c r="AP28" s="166">
        <v>1424.4</v>
      </c>
      <c r="AQ28" s="166"/>
      <c r="AR28" s="165">
        <v>2931.7</v>
      </c>
      <c r="AS28" s="166"/>
      <c r="AT28" s="166">
        <v>1695.3000000000002</v>
      </c>
      <c r="AU28" s="166"/>
      <c r="AV28" s="166">
        <v>1236.4000000000001</v>
      </c>
      <c r="AW28" s="166"/>
      <c r="AX28" s="165">
        <v>3418.8854904472473</v>
      </c>
      <c r="AY28" s="166"/>
      <c r="AZ28" s="166">
        <v>1710.8854904472471</v>
      </c>
      <c r="BA28" s="166"/>
      <c r="BB28" s="166">
        <f>BB19+BB24+BB26</f>
        <v>1708</v>
      </c>
      <c r="BC28" s="166"/>
      <c r="BD28" s="165">
        <f>BD24+BD19</f>
        <v>2918.1656094670379</v>
      </c>
      <c r="BE28" s="166"/>
      <c r="BF28" s="166">
        <f>BF19+BF24</f>
        <v>2168.8656094670378</v>
      </c>
      <c r="BG28" s="166"/>
      <c r="BH28" s="166">
        <f>BH19+BH24</f>
        <v>749.3</v>
      </c>
      <c r="BJ28" s="165">
        <f>'2008 ET report'!M20/1000</f>
        <v>1373.21614374</v>
      </c>
      <c r="BK28" s="166"/>
      <c r="BL28" s="166">
        <f>BJ28-BN28</f>
        <v>829.61614373999998</v>
      </c>
      <c r="BM28" s="166"/>
      <c r="BN28" s="166">
        <v>543.6</v>
      </c>
      <c r="BR28" s="150"/>
    </row>
    <row r="29" spans="1:70" s="7" customFormat="1" ht="11.25" x14ac:dyDescent="0.2">
      <c r="A29" s="142"/>
      <c r="B29" s="18"/>
      <c r="C29" s="107"/>
      <c r="D29" s="107"/>
      <c r="E29" s="107"/>
      <c r="F29" s="107"/>
      <c r="G29" s="107"/>
      <c r="H29" s="18"/>
      <c r="I29" s="107"/>
      <c r="J29" s="107"/>
      <c r="K29" s="107"/>
      <c r="L29" s="107"/>
      <c r="M29" s="107"/>
      <c r="N29" s="18"/>
      <c r="O29" s="107"/>
      <c r="P29" s="107"/>
      <c r="Q29" s="107"/>
      <c r="R29" s="107"/>
      <c r="S29" s="107"/>
      <c r="T29" s="18"/>
      <c r="U29" s="107"/>
      <c r="V29" s="107"/>
      <c r="W29" s="107"/>
      <c r="X29" s="107"/>
      <c r="Y29" s="107"/>
      <c r="Z29" s="18"/>
      <c r="AA29" s="107"/>
      <c r="AB29" s="107"/>
      <c r="AC29" s="107"/>
      <c r="AD29" s="107"/>
      <c r="AE29" s="107"/>
      <c r="AF29" s="18"/>
      <c r="AG29" s="107"/>
      <c r="AH29" s="107"/>
      <c r="AI29" s="107"/>
      <c r="AJ29" s="107"/>
      <c r="AK29" s="107"/>
      <c r="AL29" s="18"/>
      <c r="AM29" s="107"/>
      <c r="AN29" s="107"/>
      <c r="AO29" s="107"/>
      <c r="AP29" s="107"/>
      <c r="AQ29" s="107"/>
      <c r="AR29" s="18"/>
      <c r="AS29" s="107"/>
      <c r="AT29" s="107"/>
      <c r="AU29" s="107"/>
      <c r="AV29" s="107"/>
      <c r="AW29" s="107"/>
      <c r="AX29" s="18"/>
      <c r="AY29" s="107"/>
      <c r="AZ29" s="107"/>
      <c r="BA29" s="107"/>
      <c r="BB29" s="107"/>
      <c r="BC29" s="107"/>
      <c r="BD29" s="18"/>
      <c r="BE29" s="107"/>
      <c r="BF29" s="107"/>
      <c r="BG29" s="107"/>
      <c r="BH29" s="107"/>
      <c r="BJ29" s="18"/>
      <c r="BK29" s="107"/>
      <c r="BL29" s="107"/>
      <c r="BM29" s="107"/>
      <c r="BN29" s="107"/>
      <c r="BR29" s="142"/>
    </row>
    <row r="30" spans="1:70" s="7" customFormat="1" ht="11.25" x14ac:dyDescent="0.2">
      <c r="A30" s="149" t="s">
        <v>14</v>
      </c>
      <c r="B30" s="18"/>
      <c r="C30" s="107"/>
      <c r="D30" s="107"/>
      <c r="E30" s="107"/>
      <c r="F30" s="107"/>
      <c r="G30" s="107"/>
      <c r="H30" s="18"/>
      <c r="I30" s="107"/>
      <c r="J30" s="107"/>
      <c r="K30" s="107"/>
      <c r="L30" s="107"/>
      <c r="M30" s="107"/>
      <c r="N30" s="18"/>
      <c r="O30" s="107"/>
      <c r="P30" s="107"/>
      <c r="Q30" s="107"/>
      <c r="R30" s="107"/>
      <c r="S30" s="107"/>
      <c r="T30" s="18"/>
      <c r="U30" s="107"/>
      <c r="V30" s="107"/>
      <c r="W30" s="107"/>
      <c r="X30" s="107"/>
      <c r="Y30" s="107"/>
      <c r="Z30" s="18"/>
      <c r="AA30" s="107"/>
      <c r="AB30" s="107"/>
      <c r="AC30" s="107"/>
      <c r="AD30" s="107"/>
      <c r="AE30" s="107"/>
      <c r="AF30" s="18"/>
      <c r="AG30" s="107"/>
      <c r="AH30" s="107"/>
      <c r="AI30" s="107"/>
      <c r="AJ30" s="107"/>
      <c r="AK30" s="107"/>
      <c r="AL30" s="18"/>
      <c r="AM30" s="107"/>
      <c r="AN30" s="107"/>
      <c r="AO30" s="107"/>
      <c r="AP30" s="107"/>
      <c r="AQ30" s="142"/>
      <c r="AR30" s="18"/>
      <c r="AS30" s="142"/>
      <c r="AT30" s="107"/>
      <c r="AU30" s="107"/>
      <c r="AV30" s="107"/>
      <c r="AW30" s="142"/>
      <c r="AX30" s="18"/>
      <c r="AY30" s="142"/>
      <c r="AZ30" s="107"/>
      <c r="BA30" s="107"/>
      <c r="BB30" s="107"/>
      <c r="BC30" s="142"/>
      <c r="BD30" s="18"/>
      <c r="BE30" s="142"/>
      <c r="BF30" s="107"/>
      <c r="BG30" s="142"/>
      <c r="BH30" s="107"/>
      <c r="BI30" s="13"/>
      <c r="BJ30" s="18"/>
      <c r="BK30" s="142"/>
      <c r="BL30" s="107"/>
      <c r="BM30" s="142"/>
      <c r="BN30" s="107"/>
      <c r="BR30" s="142"/>
    </row>
    <row r="31" spans="1:70" s="7" customFormat="1" ht="11.25" x14ac:dyDescent="0.2">
      <c r="A31" s="142" t="s">
        <v>346</v>
      </c>
      <c r="B31" s="27"/>
      <c r="C31" s="107"/>
      <c r="D31" s="107">
        <f t="shared" ref="D31:D35" si="11">ROUND(B31,1)-ROUND(F31,1)</f>
        <v>-915.4</v>
      </c>
      <c r="E31" s="107"/>
      <c r="F31" s="107">
        <v>915.4356638971318</v>
      </c>
      <c r="G31" s="107"/>
      <c r="H31" s="27">
        <v>2151.5</v>
      </c>
      <c r="I31" s="107"/>
      <c r="J31" s="107">
        <f t="shared" ref="J31:J35" si="12">ROUND(H31,1)-ROUND(L31,1)</f>
        <v>1247.8</v>
      </c>
      <c r="K31" s="107"/>
      <c r="L31" s="107">
        <v>903.69746473986913</v>
      </c>
      <c r="M31" s="107"/>
      <c r="N31" s="27">
        <v>2306.4200092109722</v>
      </c>
      <c r="O31" s="107"/>
      <c r="P31" s="107">
        <f t="shared" ref="P31:P35" si="13">ROUND(N31,1)-ROUND(R31,1)</f>
        <v>1365.6000000000001</v>
      </c>
      <c r="Q31" s="107"/>
      <c r="R31" s="107">
        <v>940.77685407322463</v>
      </c>
      <c r="S31" s="107"/>
      <c r="T31" s="27">
        <v>2070.3115237509746</v>
      </c>
      <c r="U31" s="107"/>
      <c r="V31" s="107">
        <v>1173.5600564566575</v>
      </c>
      <c r="W31" s="107"/>
      <c r="X31" s="107">
        <v>896.65146729431729</v>
      </c>
      <c r="Y31" s="107"/>
      <c r="Z31" s="27">
        <v>2189.475331261111</v>
      </c>
      <c r="AA31" s="107"/>
      <c r="AB31" s="107">
        <v>1326.5</v>
      </c>
      <c r="AC31" s="107"/>
      <c r="AD31" s="107">
        <v>863.03799292884651</v>
      </c>
      <c r="AE31" s="107"/>
      <c r="AF31" s="27">
        <v>2316.2645104417356</v>
      </c>
      <c r="AG31" s="107"/>
      <c r="AH31" s="107">
        <v>1384.0645104417356</v>
      </c>
      <c r="AI31" s="107"/>
      <c r="AJ31" s="107">
        <v>932.2</v>
      </c>
      <c r="AK31" s="107"/>
      <c r="AL31" s="27">
        <v>2303.6</v>
      </c>
      <c r="AM31" s="107"/>
      <c r="AN31" s="107">
        <v>1432.8</v>
      </c>
      <c r="AO31" s="107"/>
      <c r="AP31" s="107">
        <v>870.8</v>
      </c>
      <c r="AQ31" s="142"/>
      <c r="AR31" s="27">
        <v>1871.8</v>
      </c>
      <c r="AS31" s="142"/>
      <c r="AT31" s="107">
        <v>1096.0999999999999</v>
      </c>
      <c r="AU31" s="107"/>
      <c r="AV31" s="107">
        <v>775.7</v>
      </c>
      <c r="AW31" s="142"/>
      <c r="AX31" s="27">
        <v>2097.5</v>
      </c>
      <c r="AY31" s="142"/>
      <c r="AZ31" s="107">
        <v>1157.4000000000001</v>
      </c>
      <c r="BA31" s="107"/>
      <c r="BB31" s="107">
        <v>940.1</v>
      </c>
      <c r="BC31" s="142"/>
      <c r="BD31" s="27">
        <f>2468+Indo!H18/1000000+PNG!H17/1000000</f>
        <v>2463.3894580756714</v>
      </c>
      <c r="BE31" s="142"/>
      <c r="BF31" s="107">
        <f>BD31-BH31</f>
        <v>1714.0894580756715</v>
      </c>
      <c r="BG31" s="142"/>
      <c r="BH31" s="107">
        <v>749.3</v>
      </c>
      <c r="BJ31" s="18"/>
      <c r="BK31" s="142"/>
      <c r="BL31" s="107"/>
      <c r="BM31" s="142"/>
      <c r="BN31" s="107"/>
      <c r="BR31" s="142"/>
    </row>
    <row r="32" spans="1:70" s="7" customFormat="1" ht="11.25" x14ac:dyDescent="0.2">
      <c r="A32" s="142" t="s">
        <v>3048</v>
      </c>
      <c r="B32" s="27"/>
      <c r="C32" s="107"/>
      <c r="D32" s="107">
        <f t="shared" si="11"/>
        <v>-552.70000000000005</v>
      </c>
      <c r="E32" s="107"/>
      <c r="F32" s="107">
        <v>552.69999999999993</v>
      </c>
      <c r="G32" s="107"/>
      <c r="H32" s="27">
        <v>1067.5</v>
      </c>
      <c r="I32" s="107"/>
      <c r="J32" s="107">
        <f t="shared" si="12"/>
        <v>532.5</v>
      </c>
      <c r="K32" s="107"/>
      <c r="L32" s="107">
        <v>534.98979888805184</v>
      </c>
      <c r="M32" s="107"/>
      <c r="N32" s="27">
        <v>1203.7021529614415</v>
      </c>
      <c r="O32" s="107"/>
      <c r="P32" s="107">
        <f t="shared" si="13"/>
        <v>611.30000000000007</v>
      </c>
      <c r="Q32" s="107"/>
      <c r="R32" s="107">
        <v>592.42215204356432</v>
      </c>
      <c r="S32" s="107"/>
      <c r="T32" s="27">
        <v>1135.9800483900701</v>
      </c>
      <c r="U32" s="107"/>
      <c r="V32" s="107">
        <v>595.90778080214295</v>
      </c>
      <c r="W32" s="107"/>
      <c r="X32" s="107">
        <v>540.07226758792717</v>
      </c>
      <c r="Y32" s="107"/>
      <c r="Z32" s="27">
        <v>1064.052010119914</v>
      </c>
      <c r="AA32" s="107"/>
      <c r="AB32" s="107">
        <v>571.79999999999995</v>
      </c>
      <c r="AC32" s="107"/>
      <c r="AD32" s="107">
        <v>492.31804861432386</v>
      </c>
      <c r="AE32" s="107"/>
      <c r="AF32" s="27">
        <v>1030.8</v>
      </c>
      <c r="AG32" s="107"/>
      <c r="AH32" s="107">
        <v>529.19999999999993</v>
      </c>
      <c r="AI32" s="107"/>
      <c r="AJ32" s="107">
        <v>501.6</v>
      </c>
      <c r="AK32" s="107"/>
      <c r="AL32" s="27">
        <v>1036</v>
      </c>
      <c r="AM32" s="107"/>
      <c r="AN32" s="107">
        <v>547.9</v>
      </c>
      <c r="AO32" s="107"/>
      <c r="AP32" s="107">
        <v>488.1</v>
      </c>
      <c r="AQ32" s="142"/>
      <c r="AR32" s="27">
        <v>1006.2</v>
      </c>
      <c r="AS32" s="142"/>
      <c r="AT32" s="107">
        <v>565.20000000000005</v>
      </c>
      <c r="AU32" s="107"/>
      <c r="AV32" s="107">
        <v>441</v>
      </c>
      <c r="AW32" s="142"/>
      <c r="AX32" s="27">
        <v>1292.7</v>
      </c>
      <c r="AY32" s="142"/>
      <c r="AZ32" s="107">
        <v>550.40000000000009</v>
      </c>
      <c r="BA32" s="107"/>
      <c r="BB32" s="107">
        <v>742.3</v>
      </c>
      <c r="BC32" s="142"/>
      <c r="BD32" s="27">
        <f>450.4+'Mexico sales 2008'!B25/1000000</f>
        <v>433.31321582353718</v>
      </c>
      <c r="BE32" s="142"/>
      <c r="BF32" s="107">
        <f>BD32-BH32</f>
        <v>433.31321582353718</v>
      </c>
      <c r="BG32" s="142"/>
      <c r="BH32" s="107">
        <v>0</v>
      </c>
      <c r="BI32" s="13"/>
      <c r="BJ32" s="18"/>
      <c r="BK32" s="142"/>
      <c r="BL32" s="107"/>
      <c r="BM32" s="142"/>
      <c r="BN32" s="107"/>
      <c r="BR32" s="142"/>
    </row>
    <row r="33" spans="1:70" s="7" customFormat="1" ht="11.25" x14ac:dyDescent="0.2">
      <c r="A33" s="142" t="s">
        <v>345</v>
      </c>
      <c r="B33" s="27"/>
      <c r="C33" s="107"/>
      <c r="D33" s="107">
        <f t="shared" si="11"/>
        <v>-29.2</v>
      </c>
      <c r="E33" s="107"/>
      <c r="F33" s="107">
        <v>29.181331966991301</v>
      </c>
      <c r="G33" s="107"/>
      <c r="H33" s="27">
        <v>57.9</v>
      </c>
      <c r="I33" s="107"/>
      <c r="J33" s="107">
        <f t="shared" si="12"/>
        <v>25.9</v>
      </c>
      <c r="K33" s="107"/>
      <c r="L33" s="107">
        <v>31.981529332513198</v>
      </c>
      <c r="M33" s="107"/>
      <c r="N33" s="27">
        <v>63.940310237370298</v>
      </c>
      <c r="O33" s="107"/>
      <c r="P33" s="107">
        <f t="shared" si="13"/>
        <v>33</v>
      </c>
      <c r="Q33" s="107"/>
      <c r="R33" s="107">
        <v>30.894400856052002</v>
      </c>
      <c r="S33" s="107"/>
      <c r="T33" s="27">
        <v>78.974425780948096</v>
      </c>
      <c r="U33" s="107"/>
      <c r="V33" s="107">
        <v>37.984642745814199</v>
      </c>
      <c r="W33" s="107"/>
      <c r="X33" s="107">
        <v>40.989783035133897</v>
      </c>
      <c r="Y33" s="107"/>
      <c r="Z33" s="27">
        <v>80.903132773716706</v>
      </c>
      <c r="AA33" s="107"/>
      <c r="AB33" s="107">
        <v>45.5265344605968</v>
      </c>
      <c r="AC33" s="107"/>
      <c r="AD33" s="107">
        <v>35.376598313119906</v>
      </c>
      <c r="AE33" s="107"/>
      <c r="AF33" s="27">
        <v>78.126720643595604</v>
      </c>
      <c r="AG33" s="107"/>
      <c r="AH33" s="107">
        <v>39.526720643595603</v>
      </c>
      <c r="AI33" s="107"/>
      <c r="AJ33" s="107">
        <v>38.6</v>
      </c>
      <c r="AK33" s="107"/>
      <c r="AL33" s="27">
        <v>82.9</v>
      </c>
      <c r="AM33" s="107"/>
      <c r="AN33" s="107">
        <v>46.100000000000009</v>
      </c>
      <c r="AO33" s="107"/>
      <c r="AP33" s="107">
        <v>36.799999999999997</v>
      </c>
      <c r="AQ33" s="142"/>
      <c r="AR33" s="27">
        <v>14.8</v>
      </c>
      <c r="AS33" s="142"/>
      <c r="AT33" s="107">
        <v>14.8</v>
      </c>
      <c r="AU33" s="107"/>
      <c r="AV33" s="107">
        <v>0</v>
      </c>
      <c r="AW33" s="142"/>
      <c r="AX33" s="27">
        <v>0</v>
      </c>
      <c r="AY33" s="142"/>
      <c r="AZ33" s="107">
        <v>0</v>
      </c>
      <c r="BA33" s="107"/>
      <c r="BB33" s="107">
        <v>0</v>
      </c>
      <c r="BC33" s="142"/>
      <c r="BD33" s="27">
        <v>0</v>
      </c>
      <c r="BE33" s="142"/>
      <c r="BF33" s="107">
        <f t="shared" ref="BF33:BF34" si="14">BD33-BH33</f>
        <v>0</v>
      </c>
      <c r="BG33" s="142"/>
      <c r="BH33" s="107">
        <v>0</v>
      </c>
      <c r="BI33" s="13"/>
      <c r="BJ33" s="18"/>
      <c r="BK33" s="142"/>
      <c r="BL33" s="107"/>
      <c r="BM33" s="142"/>
      <c r="BN33" s="107"/>
      <c r="BR33" s="142"/>
    </row>
    <row r="34" spans="1:70" s="7" customFormat="1" ht="11.25" x14ac:dyDescent="0.2">
      <c r="A34" s="142" t="s">
        <v>218</v>
      </c>
      <c r="B34" s="27"/>
      <c r="C34" s="107"/>
      <c r="D34" s="107">
        <f t="shared" si="11"/>
        <v>-38.4</v>
      </c>
      <c r="E34" s="107"/>
      <c r="F34" s="107">
        <v>38.394676442989542</v>
      </c>
      <c r="G34" s="107"/>
      <c r="H34" s="27">
        <v>76.8</v>
      </c>
      <c r="I34" s="107"/>
      <c r="J34" s="107">
        <f t="shared" si="12"/>
        <v>23.5</v>
      </c>
      <c r="K34" s="107"/>
      <c r="L34" s="107">
        <v>53.285825986522269</v>
      </c>
      <c r="M34" s="107"/>
      <c r="N34" s="27">
        <v>69.263134244531784</v>
      </c>
      <c r="O34" s="107"/>
      <c r="P34" s="107">
        <f t="shared" si="13"/>
        <v>38.5</v>
      </c>
      <c r="Q34" s="107"/>
      <c r="R34" s="107">
        <v>30.814904769446816</v>
      </c>
      <c r="S34" s="107"/>
      <c r="T34" s="27">
        <v>66.688355219365448</v>
      </c>
      <c r="U34" s="107"/>
      <c r="V34" s="107">
        <v>36.124321176473643</v>
      </c>
      <c r="W34" s="107"/>
      <c r="X34" s="107">
        <v>30.564034042891805</v>
      </c>
      <c r="Y34" s="107"/>
      <c r="Z34" s="27">
        <v>69.172209945579723</v>
      </c>
      <c r="AA34" s="107"/>
      <c r="AB34" s="107">
        <v>33</v>
      </c>
      <c r="AC34" s="107"/>
      <c r="AD34" s="107">
        <v>36.165189676062489</v>
      </c>
      <c r="AE34" s="107"/>
      <c r="AF34" s="27">
        <v>75.70229612898504</v>
      </c>
      <c r="AG34" s="107"/>
      <c r="AH34" s="107">
        <v>-9.7703871014957144E-2</v>
      </c>
      <c r="AI34" s="107"/>
      <c r="AJ34" s="107">
        <v>75.8</v>
      </c>
      <c r="AK34" s="107"/>
      <c r="AL34" s="27">
        <v>122.8</v>
      </c>
      <c r="AM34" s="107"/>
      <c r="AN34" s="107">
        <v>94.1</v>
      </c>
      <c r="AO34" s="107"/>
      <c r="AP34" s="107">
        <v>28.7</v>
      </c>
      <c r="AQ34" s="142"/>
      <c r="AR34" s="27">
        <v>38.9</v>
      </c>
      <c r="AS34" s="142"/>
      <c r="AT34" s="107">
        <v>19.2</v>
      </c>
      <c r="AU34" s="107"/>
      <c r="AV34" s="107">
        <v>19.7</v>
      </c>
      <c r="AW34" s="142"/>
      <c r="AX34" s="27">
        <v>28.7</v>
      </c>
      <c r="AY34" s="142"/>
      <c r="AZ34" s="107">
        <v>3.0999999999999979</v>
      </c>
      <c r="BA34" s="107"/>
      <c r="BB34" s="107">
        <v>25.6</v>
      </c>
      <c r="BC34" s="142"/>
      <c r="BD34" s="27">
        <f>SUM(-PNG!H17-Indo!H18-'Mexico sales 2008'!B25)/1000000-0.2</f>
        <v>21.497326100791298</v>
      </c>
      <c r="BE34" s="142"/>
      <c r="BF34" s="107">
        <f t="shared" si="14"/>
        <v>21.497326100791298</v>
      </c>
      <c r="BG34" s="142"/>
      <c r="BH34" s="107">
        <v>0</v>
      </c>
      <c r="BI34" s="13"/>
      <c r="BJ34" s="18"/>
      <c r="BK34" s="142"/>
      <c r="BL34" s="107"/>
      <c r="BM34" s="142"/>
      <c r="BN34" s="107"/>
      <c r="BR34" s="142"/>
    </row>
    <row r="35" spans="1:70" s="20" customFormat="1" ht="11.25" x14ac:dyDescent="0.2">
      <c r="A35" s="164" t="s">
        <v>348</v>
      </c>
      <c r="B35" s="165"/>
      <c r="C35" s="166"/>
      <c r="D35" s="166">
        <f t="shared" si="11"/>
        <v>-1535.7</v>
      </c>
      <c r="E35" s="166"/>
      <c r="F35" s="166">
        <v>1535.7318723261262</v>
      </c>
      <c r="G35" s="166"/>
      <c r="H35" s="165">
        <v>3353.7000000000003</v>
      </c>
      <c r="I35" s="166"/>
      <c r="J35" s="166">
        <f t="shared" si="12"/>
        <v>1829.6999999999998</v>
      </c>
      <c r="K35" s="166"/>
      <c r="L35" s="166">
        <v>1524</v>
      </c>
      <c r="M35" s="166"/>
      <c r="N35" s="165">
        <v>3643.3256066543154</v>
      </c>
      <c r="O35" s="166"/>
      <c r="P35" s="166">
        <f t="shared" si="13"/>
        <v>2048.4</v>
      </c>
      <c r="Q35" s="166"/>
      <c r="R35" s="166">
        <v>1594.9</v>
      </c>
      <c r="S35" s="166"/>
      <c r="T35" s="165">
        <v>3351.9543531413578</v>
      </c>
      <c r="U35" s="166"/>
      <c r="V35" s="166">
        <v>1843.6</v>
      </c>
      <c r="W35" s="166"/>
      <c r="X35" s="166">
        <v>1508.3775519602702</v>
      </c>
      <c r="Y35" s="166"/>
      <c r="Z35" s="165">
        <v>3403.7026841003212</v>
      </c>
      <c r="AA35" s="166"/>
      <c r="AB35" s="166">
        <v>1976.8</v>
      </c>
      <c r="AC35" s="166"/>
      <c r="AD35" s="166">
        <v>1426.8978295323527</v>
      </c>
      <c r="AE35" s="166"/>
      <c r="AF35" s="165">
        <v>3500.8935272143158</v>
      </c>
      <c r="AG35" s="166"/>
      <c r="AH35" s="166">
        <v>1952.6935272143162</v>
      </c>
      <c r="AI35" s="166"/>
      <c r="AJ35" s="166">
        <v>1548.2</v>
      </c>
      <c r="AK35" s="166"/>
      <c r="AL35" s="165">
        <v>3545.3</v>
      </c>
      <c r="AM35" s="166"/>
      <c r="AN35" s="166">
        <v>2120.8999999999996</v>
      </c>
      <c r="AO35" s="166"/>
      <c r="AP35" s="166">
        <v>1424.4</v>
      </c>
      <c r="AQ35" s="166"/>
      <c r="AR35" s="165">
        <v>2931.7000000000003</v>
      </c>
      <c r="AS35" s="166"/>
      <c r="AT35" s="166">
        <v>1695.3</v>
      </c>
      <c r="AU35" s="166"/>
      <c r="AV35" s="166">
        <v>1236.4000000000001</v>
      </c>
      <c r="AW35" s="166"/>
      <c r="AX35" s="165">
        <v>3418.8999999999996</v>
      </c>
      <c r="AY35" s="166"/>
      <c r="AZ35" s="166">
        <v>1710.9</v>
      </c>
      <c r="BA35" s="166"/>
      <c r="BB35" s="166">
        <f>SUM(BB31:BB34)</f>
        <v>1708</v>
      </c>
      <c r="BC35" s="166"/>
      <c r="BD35" s="165">
        <f>SUM(BD31:BD34)</f>
        <v>2918.2</v>
      </c>
      <c r="BE35" s="166"/>
      <c r="BF35" s="166">
        <f>SUM(BF31:BF34)</f>
        <v>2168.9</v>
      </c>
      <c r="BG35" s="166"/>
      <c r="BH35" s="166">
        <f>SUM(BH31:BH34)</f>
        <v>749.3</v>
      </c>
      <c r="BI35" s="551"/>
      <c r="BJ35" s="165"/>
      <c r="BK35" s="166"/>
      <c r="BL35" s="166"/>
      <c r="BM35" s="166"/>
      <c r="BN35" s="166"/>
      <c r="BR35" s="150"/>
    </row>
    <row r="36" spans="1:70" s="7" customFormat="1" ht="11.25" x14ac:dyDescent="0.2">
      <c r="A36" s="164"/>
      <c r="B36" s="535"/>
      <c r="C36" s="536"/>
      <c r="D36" s="536"/>
      <c r="E36" s="536"/>
      <c r="F36" s="536"/>
      <c r="G36" s="536"/>
      <c r="H36" s="535"/>
      <c r="I36" s="536"/>
      <c r="J36" s="536"/>
      <c r="K36" s="536"/>
      <c r="L36" s="536"/>
      <c r="M36" s="536"/>
      <c r="N36" s="535"/>
      <c r="O36" s="536"/>
      <c r="P36" s="536"/>
      <c r="Q36" s="536"/>
      <c r="R36" s="536"/>
      <c r="S36" s="536"/>
      <c r="T36" s="535"/>
      <c r="U36" s="536"/>
      <c r="V36" s="536"/>
      <c r="W36" s="536"/>
      <c r="X36" s="536"/>
      <c r="Y36" s="536"/>
      <c r="Z36" s="535"/>
      <c r="AA36" s="536"/>
      <c r="AB36" s="536"/>
      <c r="AC36" s="536"/>
      <c r="AD36" s="536"/>
      <c r="AE36" s="536"/>
      <c r="AF36" s="535"/>
      <c r="AG36" s="536"/>
      <c r="AH36" s="536"/>
      <c r="AI36" s="536"/>
      <c r="AJ36" s="536"/>
      <c r="AK36" s="536"/>
      <c r="AL36" s="535"/>
      <c r="AM36" s="536"/>
      <c r="AN36" s="536"/>
      <c r="AO36" s="536"/>
      <c r="AP36" s="536"/>
      <c r="AQ36" s="536"/>
      <c r="AR36" s="535"/>
      <c r="AS36" s="536"/>
      <c r="AT36" s="536"/>
      <c r="AU36" s="536"/>
      <c r="AV36" s="536"/>
      <c r="AW36" s="536"/>
      <c r="AX36" s="535"/>
      <c r="AY36" s="536"/>
      <c r="AZ36" s="536"/>
      <c r="BA36" s="536"/>
      <c r="BB36" s="536"/>
      <c r="BC36" s="536"/>
      <c r="BD36" s="535"/>
      <c r="BE36" s="536"/>
      <c r="BF36" s="536"/>
      <c r="BG36" s="536"/>
      <c r="BH36" s="536"/>
      <c r="BI36" s="13"/>
      <c r="BJ36" s="535"/>
      <c r="BK36" s="536"/>
      <c r="BL36" s="536"/>
      <c r="BM36" s="536"/>
      <c r="BN36" s="536"/>
      <c r="BR36" s="142"/>
    </row>
    <row r="37" spans="1:70" s="7" customFormat="1" ht="11.25" hidden="1" customHeight="1" x14ac:dyDescent="0.2">
      <c r="A37" s="517" t="s">
        <v>10</v>
      </c>
      <c r="B37" s="520"/>
      <c r="C37" s="526"/>
      <c r="D37" s="527" t="s">
        <v>7</v>
      </c>
      <c r="E37" s="545"/>
      <c r="F37" s="527"/>
      <c r="G37" s="527"/>
      <c r="H37" s="520" t="s">
        <v>7</v>
      </c>
      <c r="I37" s="526"/>
      <c r="J37" s="527" t="s">
        <v>7</v>
      </c>
      <c r="K37" s="545"/>
      <c r="L37" s="527" t="s">
        <v>7</v>
      </c>
      <c r="M37" s="527"/>
      <c r="N37" s="546"/>
      <c r="O37" s="549"/>
      <c r="P37" s="527" t="s">
        <v>7</v>
      </c>
      <c r="Q37" s="545"/>
      <c r="R37" s="521" t="s">
        <v>1</v>
      </c>
      <c r="S37" s="158"/>
      <c r="T37" s="520" t="s">
        <v>7</v>
      </c>
      <c r="U37" s="526"/>
      <c r="V37" s="527" t="s">
        <v>7</v>
      </c>
      <c r="W37" s="527"/>
      <c r="X37" s="521" t="s">
        <v>1</v>
      </c>
      <c r="Y37" s="158"/>
      <c r="Z37" s="520" t="s">
        <v>7</v>
      </c>
      <c r="AA37" s="526"/>
      <c r="AB37" s="527" t="s">
        <v>7</v>
      </c>
      <c r="AC37" s="527"/>
      <c r="AD37" s="521" t="s">
        <v>1</v>
      </c>
      <c r="AE37" s="158"/>
      <c r="AF37" s="520" t="s">
        <v>7</v>
      </c>
      <c r="AG37" s="526"/>
      <c r="AH37" s="527" t="s">
        <v>7</v>
      </c>
      <c r="AI37" s="142"/>
      <c r="AJ37" s="521" t="s">
        <v>1</v>
      </c>
      <c r="AK37" s="158"/>
      <c r="AL37" s="520" t="s">
        <v>7</v>
      </c>
      <c r="AM37" s="158"/>
      <c r="AN37" s="521" t="s">
        <v>7</v>
      </c>
      <c r="AO37" s="526"/>
      <c r="AP37" s="527" t="s">
        <v>0</v>
      </c>
      <c r="AQ37" s="530"/>
      <c r="AR37" s="520" t="s">
        <v>7</v>
      </c>
      <c r="AS37" s="526"/>
      <c r="AT37" s="527" t="s">
        <v>7</v>
      </c>
      <c r="AU37" s="145"/>
      <c r="AV37" s="527" t="s">
        <v>0</v>
      </c>
      <c r="AW37" s="142"/>
      <c r="AX37" s="520" t="s">
        <v>7</v>
      </c>
      <c r="AY37" s="145"/>
      <c r="AZ37" s="527" t="s">
        <v>7</v>
      </c>
      <c r="BA37" s="105"/>
      <c r="BB37" s="521" t="s">
        <v>0</v>
      </c>
      <c r="BC37" s="151"/>
      <c r="BD37" s="154" t="s">
        <v>7</v>
      </c>
      <c r="BE37" s="145"/>
      <c r="BF37" s="152" t="s">
        <v>7</v>
      </c>
      <c r="BG37" s="145"/>
      <c r="BH37" s="152" t="s">
        <v>0</v>
      </c>
      <c r="BI37" s="9"/>
      <c r="BJ37" s="154" t="s">
        <v>7</v>
      </c>
      <c r="BK37" s="145"/>
      <c r="BL37" s="152" t="s">
        <v>7</v>
      </c>
      <c r="BM37" s="145"/>
      <c r="BN37" s="152" t="s">
        <v>0</v>
      </c>
      <c r="BR37" s="142"/>
    </row>
    <row r="38" spans="1:70" s="7" customFormat="1" ht="11.25" hidden="1" customHeight="1" x14ac:dyDescent="0.2">
      <c r="A38" s="516" t="s">
        <v>11</v>
      </c>
      <c r="B38" s="155"/>
      <c r="C38" s="146"/>
      <c r="D38" s="528">
        <v>2014</v>
      </c>
      <c r="E38" s="106"/>
      <c r="F38" s="528"/>
      <c r="G38" s="528"/>
      <c r="H38" s="155">
        <v>2014</v>
      </c>
      <c r="I38" s="146"/>
      <c r="J38" s="528">
        <v>2014</v>
      </c>
      <c r="K38" s="106"/>
      <c r="L38" s="528">
        <v>2014</v>
      </c>
      <c r="M38" s="528"/>
      <c r="N38" s="547"/>
      <c r="O38" s="146"/>
      <c r="P38" s="528">
        <v>2014</v>
      </c>
      <c r="Q38" s="106"/>
      <c r="R38" s="153">
        <v>2014</v>
      </c>
      <c r="S38" s="146"/>
      <c r="T38" s="155">
        <v>2014</v>
      </c>
      <c r="U38" s="146"/>
      <c r="V38" s="528">
        <v>2014</v>
      </c>
      <c r="W38" s="528"/>
      <c r="X38" s="153">
        <v>2014</v>
      </c>
      <c r="Y38" s="146"/>
      <c r="Z38" s="155">
        <v>2013</v>
      </c>
      <c r="AA38" s="146"/>
      <c r="AB38" s="528">
        <v>2013</v>
      </c>
      <c r="AC38" s="528"/>
      <c r="AD38" s="153">
        <v>2013</v>
      </c>
      <c r="AE38" s="146"/>
      <c r="AF38" s="155">
        <v>2012</v>
      </c>
      <c r="AG38" s="146"/>
      <c r="AH38" s="528">
        <v>2012</v>
      </c>
      <c r="AI38" s="142"/>
      <c r="AJ38" s="153">
        <v>2012</v>
      </c>
      <c r="AK38" s="146"/>
      <c r="AL38" s="155">
        <v>2011</v>
      </c>
      <c r="AM38" s="146"/>
      <c r="AN38" s="153">
        <v>2011</v>
      </c>
      <c r="AO38" s="146"/>
      <c r="AP38" s="528">
        <v>2011</v>
      </c>
      <c r="AQ38" s="146"/>
      <c r="AR38" s="155">
        <v>2010</v>
      </c>
      <c r="AS38" s="146"/>
      <c r="AT38" s="528">
        <v>2010</v>
      </c>
      <c r="AU38" s="146"/>
      <c r="AV38" s="528">
        <v>2010</v>
      </c>
      <c r="AW38" s="142"/>
      <c r="AX38" s="155">
        <v>2009</v>
      </c>
      <c r="AY38" s="146"/>
      <c r="AZ38" s="528">
        <v>2009</v>
      </c>
      <c r="BA38" s="106"/>
      <c r="BB38" s="153">
        <v>2009</v>
      </c>
      <c r="BC38" s="136"/>
      <c r="BD38" s="155">
        <v>2008</v>
      </c>
      <c r="BE38" s="146"/>
      <c r="BF38" s="153">
        <v>2008</v>
      </c>
      <c r="BG38" s="146"/>
      <c r="BH38" s="153">
        <v>2008</v>
      </c>
      <c r="BI38" s="9"/>
      <c r="BJ38" s="155">
        <v>2007</v>
      </c>
      <c r="BK38" s="146"/>
      <c r="BL38" s="153">
        <v>2007</v>
      </c>
      <c r="BM38" s="146"/>
      <c r="BN38" s="153">
        <v>2007</v>
      </c>
      <c r="BR38" s="142"/>
    </row>
    <row r="39" spans="1:70" s="7" customFormat="1" ht="11.25" hidden="1" customHeight="1" x14ac:dyDescent="0.2">
      <c r="A39" s="515"/>
      <c r="B39" s="156"/>
      <c r="C39" s="146"/>
      <c r="D39" s="528" t="s">
        <v>8</v>
      </c>
      <c r="E39" s="106"/>
      <c r="F39" s="528"/>
      <c r="G39" s="528"/>
      <c r="H39" s="156" t="s">
        <v>9</v>
      </c>
      <c r="I39" s="146"/>
      <c r="J39" s="528" t="s">
        <v>8</v>
      </c>
      <c r="K39" s="106"/>
      <c r="L39" s="528" t="s">
        <v>8</v>
      </c>
      <c r="M39" s="528"/>
      <c r="N39" s="548"/>
      <c r="O39" s="146"/>
      <c r="P39" s="528" t="s">
        <v>8</v>
      </c>
      <c r="Q39" s="106"/>
      <c r="R39" s="153" t="s">
        <v>8</v>
      </c>
      <c r="S39" s="146"/>
      <c r="T39" s="156" t="s">
        <v>9</v>
      </c>
      <c r="U39" s="146"/>
      <c r="V39" s="528" t="s">
        <v>8</v>
      </c>
      <c r="W39" s="528"/>
      <c r="X39" s="153" t="s">
        <v>8</v>
      </c>
      <c r="Y39" s="146"/>
      <c r="Z39" s="156" t="s">
        <v>9</v>
      </c>
      <c r="AA39" s="146"/>
      <c r="AB39" s="528" t="s">
        <v>8</v>
      </c>
      <c r="AC39" s="528"/>
      <c r="AD39" s="153" t="s">
        <v>8</v>
      </c>
      <c r="AE39" s="146"/>
      <c r="AF39" s="156" t="s">
        <v>9</v>
      </c>
      <c r="AG39" s="146"/>
      <c r="AH39" s="528" t="s">
        <v>8</v>
      </c>
      <c r="AI39" s="142"/>
      <c r="AJ39" s="153" t="s">
        <v>8</v>
      </c>
      <c r="AK39" s="146"/>
      <c r="AL39" s="156" t="s">
        <v>9</v>
      </c>
      <c r="AM39" s="146"/>
      <c r="AN39" s="153" t="s">
        <v>8</v>
      </c>
      <c r="AO39" s="146"/>
      <c r="AP39" s="528" t="s">
        <v>8</v>
      </c>
      <c r="AQ39" s="146"/>
      <c r="AR39" s="156" t="s">
        <v>9</v>
      </c>
      <c r="AS39" s="146"/>
      <c r="AT39" s="528" t="s">
        <v>8</v>
      </c>
      <c r="AU39" s="146"/>
      <c r="AV39" s="528" t="s">
        <v>8</v>
      </c>
      <c r="AW39" s="142"/>
      <c r="AX39" s="156" t="s">
        <v>9</v>
      </c>
      <c r="AY39" s="146"/>
      <c r="AZ39" s="528" t="s">
        <v>8</v>
      </c>
      <c r="BA39" s="106"/>
      <c r="BB39" s="153" t="s">
        <v>8</v>
      </c>
      <c r="BC39" s="136"/>
      <c r="BD39" s="156" t="s">
        <v>9</v>
      </c>
      <c r="BE39" s="146"/>
      <c r="BF39" s="153" t="s">
        <v>8</v>
      </c>
      <c r="BG39" s="146"/>
      <c r="BH39" s="153" t="s">
        <v>8</v>
      </c>
      <c r="BI39" s="9"/>
      <c r="BJ39" s="156" t="s">
        <v>9</v>
      </c>
      <c r="BK39" s="146"/>
      <c r="BL39" s="153" t="s">
        <v>8</v>
      </c>
      <c r="BM39" s="146"/>
      <c r="BN39" s="153" t="s">
        <v>8</v>
      </c>
      <c r="BR39" s="142"/>
    </row>
    <row r="40" spans="1:70" s="7" customFormat="1" ht="11.25" hidden="1" customHeight="1" x14ac:dyDescent="0.2">
      <c r="A40" s="514"/>
      <c r="B40" s="159"/>
      <c r="C40" s="160"/>
      <c r="D40" s="529" t="s">
        <v>2</v>
      </c>
      <c r="E40" s="178"/>
      <c r="F40" s="529"/>
      <c r="G40" s="529"/>
      <c r="H40" s="159" t="s">
        <v>2</v>
      </c>
      <c r="I40" s="160"/>
      <c r="J40" s="529" t="s">
        <v>2</v>
      </c>
      <c r="K40" s="178"/>
      <c r="L40" s="529" t="s">
        <v>2</v>
      </c>
      <c r="M40" s="529"/>
      <c r="N40" s="159"/>
      <c r="O40" s="160"/>
      <c r="P40" s="529" t="s">
        <v>2</v>
      </c>
      <c r="Q40" s="178"/>
      <c r="R40" s="157" t="s">
        <v>2</v>
      </c>
      <c r="S40" s="160"/>
      <c r="T40" s="159" t="s">
        <v>2</v>
      </c>
      <c r="U40" s="160"/>
      <c r="V40" s="529" t="s">
        <v>2</v>
      </c>
      <c r="W40" s="529"/>
      <c r="X40" s="157" t="s">
        <v>2</v>
      </c>
      <c r="Y40" s="160"/>
      <c r="Z40" s="159" t="s">
        <v>2</v>
      </c>
      <c r="AA40" s="160"/>
      <c r="AB40" s="529" t="s">
        <v>2</v>
      </c>
      <c r="AC40" s="529"/>
      <c r="AD40" s="157" t="s">
        <v>2</v>
      </c>
      <c r="AE40" s="160"/>
      <c r="AF40" s="159" t="s">
        <v>2</v>
      </c>
      <c r="AG40" s="160"/>
      <c r="AH40" s="529" t="s">
        <v>2</v>
      </c>
      <c r="AI40" s="142"/>
      <c r="AJ40" s="157" t="s">
        <v>2</v>
      </c>
      <c r="AK40" s="160"/>
      <c r="AL40" s="159" t="s">
        <v>2</v>
      </c>
      <c r="AM40" s="160"/>
      <c r="AN40" s="157" t="s">
        <v>2</v>
      </c>
      <c r="AO40" s="160"/>
      <c r="AP40" s="529" t="s">
        <v>2</v>
      </c>
      <c r="AQ40" s="177"/>
      <c r="AR40" s="159" t="s">
        <v>2</v>
      </c>
      <c r="AS40" s="537"/>
      <c r="AT40" s="529" t="s">
        <v>2</v>
      </c>
      <c r="AU40" s="177"/>
      <c r="AV40" s="529" t="s">
        <v>2</v>
      </c>
      <c r="AW40" s="142"/>
      <c r="AX40" s="159" t="s">
        <v>2</v>
      </c>
      <c r="AY40" s="160"/>
      <c r="AZ40" s="529" t="s">
        <v>2</v>
      </c>
      <c r="BA40" s="178"/>
      <c r="BB40" s="524" t="s">
        <v>2</v>
      </c>
      <c r="BD40" s="159" t="s">
        <v>2</v>
      </c>
      <c r="BE40" s="160"/>
      <c r="BF40" s="157" t="s">
        <v>2</v>
      </c>
      <c r="BG40" s="160"/>
      <c r="BH40" s="157" t="s">
        <v>2</v>
      </c>
      <c r="BI40" s="161"/>
      <c r="BJ40" s="159" t="s">
        <v>2</v>
      </c>
      <c r="BK40" s="160"/>
      <c r="BL40" s="157" t="s">
        <v>2</v>
      </c>
      <c r="BM40" s="160"/>
      <c r="BN40" s="157" t="s">
        <v>2</v>
      </c>
      <c r="BR40" s="142"/>
    </row>
    <row r="41" spans="1:70" s="7" customFormat="1" ht="11.25" hidden="1" customHeight="1" x14ac:dyDescent="0.2">
      <c r="A41" s="164"/>
      <c r="B41" s="535"/>
      <c r="C41" s="536"/>
      <c r="D41" s="536"/>
      <c r="E41" s="536"/>
      <c r="F41" s="536"/>
      <c r="G41" s="536"/>
      <c r="H41" s="535"/>
      <c r="I41" s="536"/>
      <c r="J41" s="536"/>
      <c r="K41" s="536"/>
      <c r="L41" s="536"/>
      <c r="M41" s="536"/>
      <c r="N41" s="535"/>
      <c r="O41" s="536"/>
      <c r="P41" s="536"/>
      <c r="Q41" s="536"/>
      <c r="R41" s="536"/>
      <c r="S41" s="536"/>
      <c r="T41" s="535"/>
      <c r="U41" s="536"/>
      <c r="V41" s="536"/>
      <c r="W41" s="536"/>
      <c r="X41" s="536"/>
      <c r="Y41" s="536"/>
      <c r="Z41" s="535"/>
      <c r="AA41" s="536"/>
      <c r="AB41" s="536"/>
      <c r="AC41" s="536"/>
      <c r="AD41" s="536"/>
      <c r="AE41" s="536"/>
      <c r="AF41" s="535"/>
      <c r="AG41" s="536"/>
      <c r="AH41" s="536"/>
      <c r="AI41" s="536"/>
      <c r="AJ41" s="536"/>
      <c r="AK41" s="536"/>
      <c r="AL41" s="535"/>
      <c r="AM41" s="536"/>
      <c r="AN41" s="536"/>
      <c r="AO41" s="536"/>
      <c r="AP41" s="536"/>
      <c r="AQ41" s="536"/>
      <c r="AR41" s="535"/>
      <c r="AS41" s="536"/>
      <c r="AT41" s="536"/>
      <c r="AU41" s="536"/>
      <c r="AV41" s="536"/>
      <c r="AW41" s="536"/>
      <c r="AX41" s="535"/>
      <c r="AY41" s="536"/>
      <c r="AZ41" s="536"/>
      <c r="BA41" s="536"/>
      <c r="BB41" s="536"/>
      <c r="BC41" s="536"/>
      <c r="BD41" s="535"/>
      <c r="BE41" s="536"/>
      <c r="BF41" s="536"/>
      <c r="BG41" s="536"/>
      <c r="BH41" s="536"/>
      <c r="BI41" s="13"/>
      <c r="BJ41" s="535"/>
      <c r="BK41" s="536"/>
      <c r="BL41" s="536"/>
      <c r="BM41" s="536"/>
      <c r="BN41" s="536"/>
      <c r="BR41" s="142"/>
    </row>
    <row r="42" spans="1:70" s="7" customFormat="1" ht="11.25" x14ac:dyDescent="0.2">
      <c r="A42" s="149" t="s">
        <v>3050</v>
      </c>
      <c r="B42" s="18"/>
      <c r="C42" s="107"/>
      <c r="D42" s="107"/>
      <c r="E42" s="107"/>
      <c r="F42" s="107"/>
      <c r="G42" s="107"/>
      <c r="H42" s="18"/>
      <c r="I42" s="107"/>
      <c r="J42" s="107"/>
      <c r="K42" s="107"/>
      <c r="L42" s="107"/>
      <c r="M42" s="107"/>
      <c r="N42" s="18"/>
      <c r="O42" s="107"/>
      <c r="P42" s="107"/>
      <c r="Q42" s="107"/>
      <c r="R42" s="107"/>
      <c r="S42" s="107"/>
      <c r="T42" s="18"/>
      <c r="U42" s="107"/>
      <c r="V42" s="107"/>
      <c r="W42" s="107"/>
      <c r="X42" s="107"/>
      <c r="Y42" s="107"/>
      <c r="Z42" s="18"/>
      <c r="AA42" s="107"/>
      <c r="AB42" s="107"/>
      <c r="AC42" s="107"/>
      <c r="AD42" s="107"/>
      <c r="AE42" s="107"/>
      <c r="AF42" s="18"/>
      <c r="AG42" s="107"/>
      <c r="AH42" s="107"/>
      <c r="AI42" s="107"/>
      <c r="AJ42" s="107"/>
      <c r="AK42" s="107"/>
      <c r="AL42" s="18"/>
      <c r="AM42" s="107"/>
      <c r="AN42" s="107"/>
      <c r="AO42" s="107"/>
      <c r="AP42" s="107"/>
      <c r="AQ42" s="142"/>
      <c r="AR42" s="18"/>
      <c r="AS42" s="142"/>
      <c r="AT42" s="107"/>
      <c r="AU42" s="107"/>
      <c r="AV42" s="107"/>
      <c r="AW42" s="142"/>
      <c r="AX42" s="18"/>
      <c r="AY42" s="142"/>
      <c r="AZ42" s="107"/>
      <c r="BA42" s="107"/>
      <c r="BB42" s="107"/>
      <c r="BC42" s="142"/>
      <c r="BD42" s="18"/>
      <c r="BE42" s="142"/>
      <c r="BF42" s="107"/>
      <c r="BG42" s="142"/>
      <c r="BH42" s="107"/>
      <c r="BJ42" s="18"/>
      <c r="BK42" s="142"/>
      <c r="BL42" s="107"/>
      <c r="BM42" s="142"/>
      <c r="BN42" s="107"/>
      <c r="BR42" s="142"/>
    </row>
    <row r="43" spans="1:70" s="7" customFormat="1" ht="11.25" x14ac:dyDescent="0.2">
      <c r="A43" s="142" t="s">
        <v>43</v>
      </c>
      <c r="B43" s="18"/>
      <c r="C43" s="107"/>
      <c r="D43" s="107">
        <f t="shared" ref="D43:D46" si="15">ROUND(B43,1)-ROUND(F43,1)</f>
        <v>-29.1</v>
      </c>
      <c r="E43" s="107"/>
      <c r="F43" s="107">
        <v>29.1337631399999</v>
      </c>
      <c r="G43" s="107"/>
      <c r="H43" s="18">
        <v>71.169471059999893</v>
      </c>
      <c r="I43" s="107"/>
      <c r="J43" s="107">
        <f t="shared" ref="J43:J46" si="16">ROUND(H43,1)-ROUND(L43,1)</f>
        <v>41.400000000000006</v>
      </c>
      <c r="K43" s="107"/>
      <c r="L43" s="107">
        <v>29.816970790000099</v>
      </c>
      <c r="M43" s="107"/>
      <c r="N43" s="18">
        <v>82.163613229999896</v>
      </c>
      <c r="O43" s="107"/>
      <c r="P43" s="107">
        <f t="shared" ref="P43:P46" si="17">ROUND(N43,1)-ROUND(R43,1)</f>
        <v>46.300000000000004</v>
      </c>
      <c r="Q43" s="107"/>
      <c r="R43" s="107">
        <v>35.879894979999996</v>
      </c>
      <c r="S43" s="107"/>
      <c r="T43" s="18">
        <v>134.06913865000001</v>
      </c>
      <c r="U43" s="107"/>
      <c r="V43" s="107">
        <v>86.196727250000009</v>
      </c>
      <c r="W43" s="107"/>
      <c r="X43" s="107">
        <v>47.872411399999997</v>
      </c>
      <c r="Y43" s="107"/>
      <c r="Z43" s="18">
        <v>129.19999999999999</v>
      </c>
      <c r="AA43" s="107"/>
      <c r="AB43" s="107">
        <v>87.8</v>
      </c>
      <c r="AC43" s="107"/>
      <c r="AD43" s="107">
        <v>41.4</v>
      </c>
      <c r="AE43" s="107"/>
      <c r="AF43" s="18">
        <v>124.1090234</v>
      </c>
      <c r="AG43" s="107"/>
      <c r="AH43" s="107">
        <v>106.20902340000001</v>
      </c>
      <c r="AI43" s="107"/>
      <c r="AJ43" s="107">
        <v>17.899999999999999</v>
      </c>
      <c r="AK43" s="107"/>
      <c r="AL43" s="18">
        <v>156</v>
      </c>
      <c r="AM43" s="107"/>
      <c r="AN43" s="107">
        <v>93.8</v>
      </c>
      <c r="AO43" s="107"/>
      <c r="AP43" s="107">
        <v>62.2</v>
      </c>
      <c r="AQ43" s="142"/>
      <c r="AR43" s="18">
        <v>141.6</v>
      </c>
      <c r="AS43" s="142"/>
      <c r="AT43" s="107">
        <v>75.199999999999989</v>
      </c>
      <c r="AU43" s="107"/>
      <c r="AV43" s="107">
        <v>66.400000000000006</v>
      </c>
      <c r="AW43" s="142"/>
      <c r="AX43" s="18">
        <v>121.1</v>
      </c>
      <c r="AY43" s="142"/>
      <c r="AZ43" s="107">
        <v>65.399999999999991</v>
      </c>
      <c r="BA43" s="107"/>
      <c r="BB43" s="107">
        <v>55.7</v>
      </c>
      <c r="BC43" s="142"/>
      <c r="BD43" s="18">
        <f>296.5-6-4</f>
        <v>286.5</v>
      </c>
      <c r="BE43" s="142"/>
      <c r="BF43" s="107">
        <f>BD43-BH43</f>
        <v>183.6</v>
      </c>
      <c r="BG43" s="142"/>
      <c r="BH43" s="107">
        <v>102.9</v>
      </c>
      <c r="BI43" s="7">
        <f>SUM(BI29,BI27,BI22)</f>
        <v>0</v>
      </c>
      <c r="BJ43" s="18"/>
      <c r="BK43" s="142"/>
      <c r="BL43" s="107"/>
      <c r="BM43" s="142"/>
      <c r="BN43" s="107"/>
      <c r="BR43" s="142"/>
    </row>
    <row r="44" spans="1:70" s="7" customFormat="1" ht="11.25" x14ac:dyDescent="0.2">
      <c r="A44" s="142" t="s">
        <v>150</v>
      </c>
      <c r="B44" s="18"/>
      <c r="C44" s="107"/>
      <c r="D44" s="107">
        <f t="shared" si="15"/>
        <v>-30.6</v>
      </c>
      <c r="E44" s="107"/>
      <c r="F44" s="107">
        <v>30.6241808523176</v>
      </c>
      <c r="G44" s="107"/>
      <c r="H44" s="18">
        <v>98.3</v>
      </c>
      <c r="I44" s="107"/>
      <c r="J44" s="107">
        <f t="shared" si="16"/>
        <v>35</v>
      </c>
      <c r="K44" s="107"/>
      <c r="L44" s="107">
        <v>63.320231967746395</v>
      </c>
      <c r="M44" s="107"/>
      <c r="N44" s="18">
        <v>211.55922261196602</v>
      </c>
      <c r="O44" s="107"/>
      <c r="P44" s="107">
        <f t="shared" si="17"/>
        <v>119.39999999999999</v>
      </c>
      <c r="Q44" s="107"/>
      <c r="R44" s="107">
        <v>92.228562069017599</v>
      </c>
      <c r="S44" s="107"/>
      <c r="T44" s="18">
        <v>105.840127097951</v>
      </c>
      <c r="U44" s="107"/>
      <c r="V44" s="107">
        <v>56.123416567551899</v>
      </c>
      <c r="W44" s="107"/>
      <c r="X44" s="107">
        <v>49.716710530399098</v>
      </c>
      <c r="Y44" s="107"/>
      <c r="Z44" s="18">
        <v>97.511913023061794</v>
      </c>
      <c r="AA44" s="107"/>
      <c r="AB44" s="107">
        <v>59.442821528021298</v>
      </c>
      <c r="AC44" s="107"/>
      <c r="AD44" s="107">
        <v>38.069091495040496</v>
      </c>
      <c r="AE44" s="107"/>
      <c r="AF44" s="18">
        <v>203.554459462051</v>
      </c>
      <c r="AG44" s="107"/>
      <c r="AH44" s="107">
        <v>125.554459462051</v>
      </c>
      <c r="AI44" s="107"/>
      <c r="AJ44" s="107">
        <v>78</v>
      </c>
      <c r="AK44" s="107"/>
      <c r="AL44" s="18">
        <v>353.3</v>
      </c>
      <c r="AM44" s="107"/>
      <c r="AN44" s="107">
        <v>229.4</v>
      </c>
      <c r="AO44" s="107"/>
      <c r="AP44" s="107">
        <v>123.9</v>
      </c>
      <c r="AQ44" s="142"/>
      <c r="AR44" s="18">
        <v>236.9</v>
      </c>
      <c r="AS44" s="142"/>
      <c r="AT44" s="107">
        <v>158.19999999999999</v>
      </c>
      <c r="AU44" s="107"/>
      <c r="AV44" s="107">
        <v>78.7</v>
      </c>
      <c r="AW44" s="142"/>
      <c r="AX44" s="18">
        <v>195.8</v>
      </c>
      <c r="AY44" s="142"/>
      <c r="AZ44" s="107">
        <v>94.300000000000011</v>
      </c>
      <c r="BA44" s="107"/>
      <c r="BB44" s="107">
        <v>101.5</v>
      </c>
      <c r="BC44" s="142"/>
      <c r="BD44" s="18">
        <f>705.9-13.8-20.3</f>
        <v>671.80000000000007</v>
      </c>
      <c r="BE44" s="142"/>
      <c r="BF44" s="107">
        <f>BD44-BH44</f>
        <v>427.90000000000009</v>
      </c>
      <c r="BG44" s="142"/>
      <c r="BH44" s="107">
        <v>243.9</v>
      </c>
      <c r="BI44" s="13"/>
      <c r="BJ44" s="18"/>
      <c r="BK44" s="142"/>
      <c r="BL44" s="107"/>
      <c r="BM44" s="142"/>
      <c r="BN44" s="107"/>
      <c r="BR44" s="142"/>
    </row>
    <row r="45" spans="1:70" s="7" customFormat="1" ht="11.25" x14ac:dyDescent="0.2">
      <c r="A45" s="142" t="s">
        <v>3034</v>
      </c>
      <c r="B45" s="18"/>
      <c r="C45" s="107"/>
      <c r="D45" s="107">
        <f t="shared" si="15"/>
        <v>0.8</v>
      </c>
      <c r="E45" s="107"/>
      <c r="F45" s="107">
        <v>-0.78829437000000502</v>
      </c>
      <c r="G45" s="107"/>
      <c r="H45" s="18">
        <v>2.1</v>
      </c>
      <c r="I45" s="107"/>
      <c r="J45" s="107">
        <f t="shared" si="16"/>
        <v>5.5</v>
      </c>
      <c r="K45" s="107"/>
      <c r="L45" s="107">
        <v>-3.3928381600000099</v>
      </c>
      <c r="M45" s="107"/>
      <c r="N45" s="18">
        <v>-1.1483576399999902</v>
      </c>
      <c r="O45" s="107"/>
      <c r="P45" s="107">
        <f t="shared" si="17"/>
        <v>33.5</v>
      </c>
      <c r="Q45" s="107"/>
      <c r="R45" s="107">
        <v>-34.6124352</v>
      </c>
      <c r="S45" s="107"/>
      <c r="T45" s="18">
        <v>6.9608569999992806E-2</v>
      </c>
      <c r="U45" s="107"/>
      <c r="V45" s="107">
        <v>20.480278039999991</v>
      </c>
      <c r="W45" s="107"/>
      <c r="X45" s="107">
        <v>-20.410669469999998</v>
      </c>
      <c r="Y45" s="107"/>
      <c r="Z45" s="18">
        <v>3</v>
      </c>
      <c r="AA45" s="107"/>
      <c r="AB45" s="107">
        <v>4.1332066200000002</v>
      </c>
      <c r="AC45" s="107"/>
      <c r="AD45" s="107">
        <v>-1.1008525900000001</v>
      </c>
      <c r="AE45" s="107"/>
      <c r="AF45" s="18">
        <v>3.2912812900000201</v>
      </c>
      <c r="AG45" s="107"/>
      <c r="AH45" s="107">
        <v>7.6912812900000205</v>
      </c>
      <c r="AI45" s="107"/>
      <c r="AJ45" s="107">
        <v>-4.4000000000000004</v>
      </c>
      <c r="AK45" s="107"/>
      <c r="AL45" s="18">
        <v>-3.7</v>
      </c>
      <c r="AM45" s="107"/>
      <c r="AN45" s="107">
        <v>15.8</v>
      </c>
      <c r="AO45" s="107"/>
      <c r="AP45" s="107">
        <v>-19.5</v>
      </c>
      <c r="AQ45" s="142"/>
      <c r="AR45" s="18">
        <v>-0.6</v>
      </c>
      <c r="AS45" s="142"/>
      <c r="AT45" s="107">
        <v>17.799999999999997</v>
      </c>
      <c r="AU45" s="107"/>
      <c r="AV45" s="107">
        <v>-18.399999999999999</v>
      </c>
      <c r="AW45" s="142"/>
      <c r="AX45" s="18">
        <v>24.3</v>
      </c>
      <c r="AY45" s="142"/>
      <c r="AZ45" s="107">
        <v>6.1999999999999993</v>
      </c>
      <c r="BA45" s="107"/>
      <c r="BB45" s="107">
        <f>6.6+11.5</f>
        <v>18.100000000000001</v>
      </c>
      <c r="BC45" s="142"/>
      <c r="BD45" s="18">
        <f>-10.2-0.1</f>
        <v>-10.299999999999999</v>
      </c>
      <c r="BE45" s="142"/>
      <c r="BF45" s="107">
        <f>BD45-BH45</f>
        <v>49.2</v>
      </c>
      <c r="BG45" s="142"/>
      <c r="BH45" s="107">
        <v>-59.5</v>
      </c>
      <c r="BJ45" s="18"/>
      <c r="BK45" s="142"/>
      <c r="BL45" s="107"/>
      <c r="BM45" s="142"/>
      <c r="BN45" s="107"/>
      <c r="BR45" s="142"/>
    </row>
    <row r="46" spans="1:70" s="7" customFormat="1" ht="11.25" x14ac:dyDescent="0.2">
      <c r="A46" s="150" t="s">
        <v>13</v>
      </c>
      <c r="B46" s="25"/>
      <c r="C46" s="108"/>
      <c r="D46" s="108">
        <f t="shared" si="15"/>
        <v>-58.9</v>
      </c>
      <c r="E46" s="108"/>
      <c r="F46" s="108">
        <v>58.900000000000006</v>
      </c>
      <c r="G46" s="108"/>
      <c r="H46" s="25">
        <v>171.56947105999987</v>
      </c>
      <c r="I46" s="108"/>
      <c r="J46" s="108">
        <f t="shared" si="16"/>
        <v>81.899999999999991</v>
      </c>
      <c r="K46" s="108"/>
      <c r="L46" s="108">
        <v>89.699999999999989</v>
      </c>
      <c r="M46" s="108"/>
      <c r="N46" s="25">
        <v>292.67447820196594</v>
      </c>
      <c r="O46" s="108"/>
      <c r="P46" s="108">
        <f t="shared" si="17"/>
        <v>199.2</v>
      </c>
      <c r="Q46" s="108"/>
      <c r="R46" s="108">
        <v>93.496021849017609</v>
      </c>
      <c r="S46" s="108"/>
      <c r="T46" s="25">
        <v>239.97887431795098</v>
      </c>
      <c r="U46" s="108"/>
      <c r="V46" s="108">
        <v>162.80042185755192</v>
      </c>
      <c r="W46" s="108"/>
      <c r="X46" s="108">
        <v>77.1784524603991</v>
      </c>
      <c r="Y46" s="108"/>
      <c r="Z46" s="25">
        <v>229.7</v>
      </c>
      <c r="AA46" s="108"/>
      <c r="AB46" s="108">
        <v>151.30000000000001</v>
      </c>
      <c r="AC46" s="108"/>
      <c r="AD46" s="108">
        <v>78.400000000000006</v>
      </c>
      <c r="AE46" s="108"/>
      <c r="AF46" s="25">
        <v>330.95476415205104</v>
      </c>
      <c r="AG46" s="108"/>
      <c r="AH46" s="108">
        <v>239.45476415205104</v>
      </c>
      <c r="AI46" s="108"/>
      <c r="AJ46" s="108">
        <v>91.5</v>
      </c>
      <c r="AK46" s="108"/>
      <c r="AL46" s="25">
        <v>505.6</v>
      </c>
      <c r="AM46" s="108"/>
      <c r="AN46" s="108">
        <v>339</v>
      </c>
      <c r="AO46" s="108"/>
      <c r="AP46" s="108">
        <v>166.60000000000002</v>
      </c>
      <c r="AQ46" s="108"/>
      <c r="AR46" s="25">
        <v>377.9</v>
      </c>
      <c r="AS46" s="108"/>
      <c r="AT46" s="108">
        <v>251.2</v>
      </c>
      <c r="AU46" s="108"/>
      <c r="AV46" s="108">
        <v>126.70000000000002</v>
      </c>
      <c r="AW46" s="108"/>
      <c r="AX46" s="25">
        <v>341.2</v>
      </c>
      <c r="AY46" s="108"/>
      <c r="AZ46" s="108">
        <v>165.89999999999998</v>
      </c>
      <c r="BA46" s="108">
        <v>0</v>
      </c>
      <c r="BB46" s="108">
        <f>SUM(BB43:BB45)</f>
        <v>175.29999999999998</v>
      </c>
      <c r="BC46" s="108">
        <v>0</v>
      </c>
      <c r="BD46" s="25">
        <f>SUM(BD43:BD45)</f>
        <v>948.00000000000011</v>
      </c>
      <c r="BE46" s="108">
        <v>0</v>
      </c>
      <c r="BF46" s="108">
        <f>SUM(BF43:BF45)</f>
        <v>660.70000000000016</v>
      </c>
      <c r="BG46" s="108">
        <v>0</v>
      </c>
      <c r="BH46" s="108">
        <f>SUM(BH43:BH45)</f>
        <v>287.3</v>
      </c>
      <c r="BJ46" s="25"/>
      <c r="BK46" s="108"/>
      <c r="BL46" s="108"/>
      <c r="BM46" s="108"/>
      <c r="BN46" s="108"/>
      <c r="BR46" s="142"/>
    </row>
    <row r="47" spans="1:70" s="7" customFormat="1" ht="11.25" x14ac:dyDescent="0.2">
      <c r="A47" s="150"/>
      <c r="B47" s="18"/>
      <c r="C47" s="107"/>
      <c r="D47" s="107"/>
      <c r="E47" s="107"/>
      <c r="F47" s="107"/>
      <c r="G47" s="107"/>
      <c r="H47" s="18"/>
      <c r="I47" s="107"/>
      <c r="J47" s="107"/>
      <c r="K47" s="107"/>
      <c r="L47" s="107"/>
      <c r="M47" s="107"/>
      <c r="N47" s="18"/>
      <c r="O47" s="107"/>
      <c r="P47" s="107"/>
      <c r="Q47" s="107"/>
      <c r="R47" s="107"/>
      <c r="S47" s="107"/>
      <c r="T47" s="18"/>
      <c r="U47" s="107"/>
      <c r="V47" s="107"/>
      <c r="W47" s="107"/>
      <c r="X47" s="107"/>
      <c r="Y47" s="107"/>
      <c r="Z47" s="18"/>
      <c r="AA47" s="107"/>
      <c r="AB47" s="107"/>
      <c r="AC47" s="107"/>
      <c r="AD47" s="107"/>
      <c r="AE47" s="107"/>
      <c r="AF47" s="18"/>
      <c r="AG47" s="107"/>
      <c r="AH47" s="107"/>
      <c r="AI47" s="107"/>
      <c r="AJ47" s="107"/>
      <c r="AK47" s="107"/>
      <c r="AL47" s="18"/>
      <c r="AM47" s="107"/>
      <c r="AN47" s="107"/>
      <c r="AO47" s="107"/>
      <c r="AP47" s="107"/>
      <c r="AQ47" s="107"/>
      <c r="AR47" s="18"/>
      <c r="AS47" s="107"/>
      <c r="AT47" s="107"/>
      <c r="AU47" s="107"/>
      <c r="AV47" s="107"/>
      <c r="AW47" s="107"/>
      <c r="AX47" s="18"/>
      <c r="AY47" s="107"/>
      <c r="AZ47" s="107"/>
      <c r="BA47" s="107"/>
      <c r="BB47" s="107"/>
      <c r="BC47" s="107"/>
      <c r="BD47" s="18"/>
      <c r="BE47" s="107"/>
      <c r="BF47" s="107"/>
      <c r="BG47" s="107"/>
      <c r="BH47" s="107"/>
      <c r="BJ47" s="18"/>
      <c r="BK47" s="107"/>
      <c r="BL47" s="107"/>
      <c r="BM47" s="107"/>
      <c r="BN47" s="107"/>
      <c r="BR47" s="142"/>
    </row>
    <row r="48" spans="1:70" s="7" customFormat="1" ht="11.25" x14ac:dyDescent="0.2">
      <c r="A48" s="142" t="s">
        <v>46</v>
      </c>
      <c r="B48" s="18"/>
      <c r="C48" s="107"/>
      <c r="D48" s="107">
        <f t="shared" ref="D48:D51" si="18">ROUND(B48,1)-ROUND(F48,1)</f>
        <v>-191.1</v>
      </c>
      <c r="E48" s="107"/>
      <c r="F48" s="107">
        <v>191.14024888741002</v>
      </c>
      <c r="G48" s="107"/>
      <c r="H48" s="18">
        <v>253.5</v>
      </c>
      <c r="I48" s="107"/>
      <c r="J48" s="107">
        <f t="shared" ref="J48:J51" si="19">ROUND(H48,1)-ROUND(L48,1)</f>
        <v>140.30000000000001</v>
      </c>
      <c r="K48" s="107"/>
      <c r="L48" s="107">
        <v>113.24359762370599</v>
      </c>
      <c r="M48" s="107"/>
      <c r="N48" s="18">
        <v>280.69911054735098</v>
      </c>
      <c r="O48" s="107"/>
      <c r="P48" s="107">
        <f t="shared" ref="P48:P51" si="20">ROUND(N48,1)-ROUND(R48,1)</f>
        <v>158.19999999999999</v>
      </c>
      <c r="Q48" s="107"/>
      <c r="R48" s="107">
        <v>122.537925265919</v>
      </c>
      <c r="S48" s="107"/>
      <c r="T48" s="18">
        <v>255.627756198887</v>
      </c>
      <c r="U48" s="107"/>
      <c r="V48" s="107">
        <v>141.23480904532602</v>
      </c>
      <c r="W48" s="107"/>
      <c r="X48" s="107">
        <v>114.392947153561</v>
      </c>
      <c r="Y48" s="107"/>
      <c r="Z48" s="18">
        <v>244.9</v>
      </c>
      <c r="AA48" s="107"/>
      <c r="AB48" s="107">
        <v>133.6</v>
      </c>
      <c r="AC48" s="107"/>
      <c r="AD48" s="107">
        <v>111.3</v>
      </c>
      <c r="AE48" s="107"/>
      <c r="AF48" s="18">
        <v>263.24371438553601</v>
      </c>
      <c r="AG48" s="107"/>
      <c r="AH48" s="107">
        <v>146.14371438553601</v>
      </c>
      <c r="AI48" s="107"/>
      <c r="AJ48" s="107">
        <v>117.1</v>
      </c>
      <c r="AK48" s="107"/>
      <c r="AL48" s="18">
        <v>244.3</v>
      </c>
      <c r="AM48" s="107"/>
      <c r="AN48" s="107">
        <v>141</v>
      </c>
      <c r="AO48" s="107"/>
      <c r="AP48" s="107">
        <v>103.3</v>
      </c>
      <c r="AQ48" s="142"/>
      <c r="AR48" s="18">
        <v>236.5</v>
      </c>
      <c r="AS48" s="142"/>
      <c r="AT48" s="107">
        <v>144.69999999999999</v>
      </c>
      <c r="AU48" s="107"/>
      <c r="AV48" s="107">
        <v>91.8</v>
      </c>
      <c r="AW48" s="142"/>
      <c r="AX48" s="18">
        <v>297.39999999999998</v>
      </c>
      <c r="AY48" s="142"/>
      <c r="AZ48" s="107">
        <v>149.99999999999997</v>
      </c>
      <c r="BA48" s="107"/>
      <c r="BB48" s="107">
        <v>147.4</v>
      </c>
      <c r="BC48" s="142"/>
      <c r="BD48" s="18">
        <f>86.1622113099762-1.6</f>
        <v>84.562211309976206</v>
      </c>
      <c r="BE48" s="142"/>
      <c r="BF48" s="107">
        <f>BD48-BH48</f>
        <v>84.562211309976206</v>
      </c>
      <c r="BG48" s="142"/>
      <c r="BH48" s="107">
        <v>0</v>
      </c>
      <c r="BJ48" s="18"/>
      <c r="BK48" s="142"/>
      <c r="BL48" s="107"/>
      <c r="BM48" s="142"/>
      <c r="BN48" s="107"/>
      <c r="BR48" s="142"/>
    </row>
    <row r="49" spans="1:70" s="7" customFormat="1" ht="11.25" x14ac:dyDescent="0.2">
      <c r="A49" s="142" t="s">
        <v>47</v>
      </c>
      <c r="B49" s="18"/>
      <c r="C49" s="142"/>
      <c r="D49" s="107">
        <f t="shared" si="18"/>
        <v>-131.9</v>
      </c>
      <c r="E49" s="107"/>
      <c r="F49" s="107">
        <v>131.90526692578101</v>
      </c>
      <c r="G49" s="107"/>
      <c r="H49" s="18">
        <v>267.60000000000002</v>
      </c>
      <c r="I49" s="142"/>
      <c r="J49" s="107">
        <f t="shared" si="19"/>
        <v>139.40000000000003</v>
      </c>
      <c r="K49" s="107"/>
      <c r="L49" s="107">
        <v>128.23222386675701</v>
      </c>
      <c r="M49" s="107"/>
      <c r="N49" s="18">
        <v>271.55913764705002</v>
      </c>
      <c r="O49" s="142"/>
      <c r="P49" s="107">
        <f t="shared" si="20"/>
        <v>140.30000000000001</v>
      </c>
      <c r="Q49" s="107"/>
      <c r="R49" s="107">
        <v>131.27582992063898</v>
      </c>
      <c r="S49" s="142"/>
      <c r="T49" s="18">
        <v>277.15153131985596</v>
      </c>
      <c r="U49" s="142"/>
      <c r="V49" s="107">
        <v>151.27543371285097</v>
      </c>
      <c r="W49" s="107"/>
      <c r="X49" s="107">
        <v>125.87609760700499</v>
      </c>
      <c r="Y49" s="142"/>
      <c r="Z49" s="18">
        <v>201</v>
      </c>
      <c r="AA49" s="142"/>
      <c r="AB49" s="107">
        <v>114.3</v>
      </c>
      <c r="AC49" s="107"/>
      <c r="AD49" s="107">
        <v>86.7</v>
      </c>
      <c r="AE49" s="142"/>
      <c r="AF49" s="18">
        <v>232.62999580719199</v>
      </c>
      <c r="AG49" s="142"/>
      <c r="AH49" s="107">
        <v>126.22999580719198</v>
      </c>
      <c r="AI49" s="107"/>
      <c r="AJ49" s="107">
        <v>106.4</v>
      </c>
      <c r="AK49" s="142"/>
      <c r="AL49" s="18">
        <v>215.3</v>
      </c>
      <c r="AM49" s="142"/>
      <c r="AN49" s="107">
        <v>125.70000000000002</v>
      </c>
      <c r="AO49" s="142"/>
      <c r="AP49" s="107">
        <v>89.6</v>
      </c>
      <c r="AQ49" s="142"/>
      <c r="AR49" s="18">
        <v>196</v>
      </c>
      <c r="AS49" s="142"/>
      <c r="AT49" s="107">
        <v>111</v>
      </c>
      <c r="AU49" s="142"/>
      <c r="AV49" s="107">
        <v>85</v>
      </c>
      <c r="AW49" s="142"/>
      <c r="AX49" s="18">
        <v>135.6</v>
      </c>
      <c r="AY49" s="142"/>
      <c r="AZ49" s="107">
        <v>73.899999999999991</v>
      </c>
      <c r="BA49" s="142"/>
      <c r="BB49" s="107">
        <v>61.7</v>
      </c>
      <c r="BC49" s="142"/>
      <c r="BD49" s="18">
        <v>21.377283018651148</v>
      </c>
      <c r="BE49" s="142"/>
      <c r="BF49" s="107">
        <f>BD49-BH49</f>
        <v>21.377283018651148</v>
      </c>
      <c r="BG49" s="142"/>
      <c r="BH49" s="107">
        <v>0</v>
      </c>
      <c r="BJ49" s="18"/>
      <c r="BK49" s="142"/>
      <c r="BL49" s="107"/>
      <c r="BM49" s="142"/>
      <c r="BN49" s="107"/>
      <c r="BR49" s="142"/>
    </row>
    <row r="50" spans="1:70" s="7" customFormat="1" ht="11.25" x14ac:dyDescent="0.2">
      <c r="A50" s="142" t="s">
        <v>48</v>
      </c>
      <c r="B50" s="18"/>
      <c r="C50" s="109"/>
      <c r="D50" s="107">
        <f t="shared" si="18"/>
        <v>0.6</v>
      </c>
      <c r="E50" s="107"/>
      <c r="F50" s="107">
        <v>-0.61188080612108298</v>
      </c>
      <c r="G50" s="107"/>
      <c r="H50" s="18">
        <v>1.5</v>
      </c>
      <c r="I50" s="109"/>
      <c r="J50" s="107">
        <f t="shared" si="19"/>
        <v>0.10000000000000009</v>
      </c>
      <c r="K50" s="107"/>
      <c r="L50" s="107">
        <v>1.4403567876187702</v>
      </c>
      <c r="M50" s="107"/>
      <c r="N50" s="18">
        <v>1.61153930949353</v>
      </c>
      <c r="O50" s="109"/>
      <c r="P50" s="107">
        <f t="shared" si="20"/>
        <v>1.4000000000000001</v>
      </c>
      <c r="Q50" s="107"/>
      <c r="R50" s="107">
        <v>0.16488791528926</v>
      </c>
      <c r="S50" s="109"/>
      <c r="T50" s="18">
        <v>1.5250965709887401</v>
      </c>
      <c r="U50" s="109"/>
      <c r="V50" s="107">
        <v>1.15219821128168</v>
      </c>
      <c r="W50" s="107"/>
      <c r="X50" s="107">
        <v>0.27289835970706</v>
      </c>
      <c r="Y50" s="109"/>
      <c r="Z50" s="18">
        <v>-1.1244929749521302</v>
      </c>
      <c r="AA50" s="109"/>
      <c r="AB50" s="107">
        <v>-0.4</v>
      </c>
      <c r="AC50" s="107"/>
      <c r="AD50" s="107">
        <v>-0.65829363753053605</v>
      </c>
      <c r="AE50" s="109"/>
      <c r="AF50" s="18">
        <v>-1.9802017616228502</v>
      </c>
      <c r="AG50" s="109"/>
      <c r="AH50" s="107">
        <v>-0.98020176162285022</v>
      </c>
      <c r="AI50" s="107"/>
      <c r="AJ50" s="107">
        <v>-1</v>
      </c>
      <c r="AK50" s="109"/>
      <c r="AL50" s="18">
        <v>-0.4</v>
      </c>
      <c r="AM50" s="109"/>
      <c r="AN50" s="107">
        <v>-0.4</v>
      </c>
      <c r="AO50" s="109"/>
      <c r="AP50" s="107">
        <v>0</v>
      </c>
      <c r="AQ50" s="142"/>
      <c r="AR50" s="18">
        <v>1.5</v>
      </c>
      <c r="AS50" s="142"/>
      <c r="AT50" s="107">
        <v>1</v>
      </c>
      <c r="AU50" s="109"/>
      <c r="AV50" s="107">
        <v>0.5</v>
      </c>
      <c r="AW50" s="142"/>
      <c r="AX50" s="18">
        <v>-3.8</v>
      </c>
      <c r="AY50" s="142"/>
      <c r="AZ50" s="107">
        <v>8.3999999999999986</v>
      </c>
      <c r="BA50" s="109"/>
      <c r="BB50" s="107">
        <v>-12.2</v>
      </c>
      <c r="BC50" s="142"/>
      <c r="BD50" s="18">
        <v>3.5073577024342395</v>
      </c>
      <c r="BE50" s="142"/>
      <c r="BF50" s="107">
        <f>BD50-BH50</f>
        <v>3.5073577024342395</v>
      </c>
      <c r="BG50" s="142"/>
      <c r="BH50" s="107">
        <v>0</v>
      </c>
      <c r="BJ50" s="18"/>
      <c r="BK50" s="142"/>
      <c r="BL50" s="107"/>
      <c r="BM50" s="142"/>
      <c r="BN50" s="107"/>
      <c r="BR50" s="142"/>
    </row>
    <row r="51" spans="1:70" s="7" customFormat="1" ht="11.25" x14ac:dyDescent="0.2">
      <c r="A51" s="150" t="s">
        <v>49</v>
      </c>
      <c r="B51" s="25"/>
      <c r="C51" s="108"/>
      <c r="D51" s="108">
        <f t="shared" si="18"/>
        <v>-322.39999999999998</v>
      </c>
      <c r="E51" s="108"/>
      <c r="F51" s="108">
        <f t="array" ref="F51">SUM(ROUND(F48:F50,1))</f>
        <v>322.39999999999998</v>
      </c>
      <c r="G51" s="108"/>
      <c r="H51" s="25">
        <v>522.6</v>
      </c>
      <c r="I51" s="108"/>
      <c r="J51" s="108">
        <f t="shared" si="19"/>
        <v>279.8</v>
      </c>
      <c r="K51" s="108"/>
      <c r="L51" s="108">
        <v>242.79999999999998</v>
      </c>
      <c r="M51" s="108"/>
      <c r="N51" s="25">
        <v>553.86978750389449</v>
      </c>
      <c r="O51" s="108"/>
      <c r="P51" s="108">
        <f t="shared" si="20"/>
        <v>299.89999999999998</v>
      </c>
      <c r="Q51" s="108"/>
      <c r="R51" s="108">
        <v>253.97864310184724</v>
      </c>
      <c r="S51" s="108"/>
      <c r="T51" s="25">
        <v>534.30438408973168</v>
      </c>
      <c r="U51" s="108"/>
      <c r="V51" s="108">
        <v>293.66244096945871</v>
      </c>
      <c r="W51" s="108"/>
      <c r="X51" s="108">
        <v>240.64194312027303</v>
      </c>
      <c r="Y51" s="108"/>
      <c r="Z51" s="25">
        <v>444.8</v>
      </c>
      <c r="AA51" s="108"/>
      <c r="AB51" s="108">
        <v>247.5</v>
      </c>
      <c r="AC51" s="108"/>
      <c r="AD51" s="108">
        <v>197.3</v>
      </c>
      <c r="AE51" s="108"/>
      <c r="AF51" s="25">
        <v>493.79350843110518</v>
      </c>
      <c r="AG51" s="108"/>
      <c r="AH51" s="108">
        <v>271.29350843110518</v>
      </c>
      <c r="AI51" s="108"/>
      <c r="AJ51" s="108">
        <v>222.5</v>
      </c>
      <c r="AK51" s="108"/>
      <c r="AL51" s="25">
        <v>459.20000000000005</v>
      </c>
      <c r="AM51" s="108"/>
      <c r="AN51" s="108">
        <v>266.30000000000007</v>
      </c>
      <c r="AO51" s="108"/>
      <c r="AP51" s="108">
        <v>192.89999999999998</v>
      </c>
      <c r="AQ51" s="108"/>
      <c r="AR51" s="25">
        <v>434</v>
      </c>
      <c r="AS51" s="108">
        <v>0</v>
      </c>
      <c r="AT51" s="108">
        <v>256.7</v>
      </c>
      <c r="AU51" s="108"/>
      <c r="AV51" s="108">
        <v>177.3</v>
      </c>
      <c r="AW51" s="108">
        <v>0</v>
      </c>
      <c r="AX51" s="25">
        <v>429.2</v>
      </c>
      <c r="AY51" s="108">
        <v>0</v>
      </c>
      <c r="AZ51" s="108">
        <v>232.29999999999998</v>
      </c>
      <c r="BA51" s="108">
        <v>0</v>
      </c>
      <c r="BB51" s="108">
        <f>SUM(BB48:BB50)</f>
        <v>196.90000000000003</v>
      </c>
      <c r="BC51" s="108">
        <v>0</v>
      </c>
      <c r="BD51" s="25">
        <f>SUM(BD48:BD50)+0.1</f>
        <v>109.54685203106158</v>
      </c>
      <c r="BE51" s="108">
        <v>0</v>
      </c>
      <c r="BF51" s="108">
        <f>SUM(BF48:BF50)</f>
        <v>109.44685203106158</v>
      </c>
      <c r="BG51" s="108">
        <v>0</v>
      </c>
      <c r="BH51" s="108">
        <f>SUM(BH48:BH50)</f>
        <v>0</v>
      </c>
      <c r="BJ51" s="25"/>
      <c r="BK51" s="108"/>
      <c r="BL51" s="108"/>
      <c r="BM51" s="108"/>
      <c r="BN51" s="108"/>
      <c r="BR51" s="142"/>
    </row>
    <row r="52" spans="1:70" s="7" customFormat="1" ht="11.25" x14ac:dyDescent="0.2">
      <c r="A52" s="150"/>
      <c r="B52" s="18"/>
      <c r="C52" s="107"/>
      <c r="D52" s="107"/>
      <c r="E52" s="107"/>
      <c r="F52" s="107"/>
      <c r="G52" s="107"/>
      <c r="H52" s="18"/>
      <c r="I52" s="107"/>
      <c r="J52" s="107"/>
      <c r="K52" s="107"/>
      <c r="L52" s="107"/>
      <c r="M52" s="107"/>
      <c r="N52" s="18"/>
      <c r="O52" s="107"/>
      <c r="P52" s="107"/>
      <c r="Q52" s="107"/>
      <c r="R52" s="107"/>
      <c r="S52" s="107"/>
      <c r="T52" s="18"/>
      <c r="U52" s="107"/>
      <c r="V52" s="107"/>
      <c r="W52" s="107"/>
      <c r="X52" s="107"/>
      <c r="Y52" s="107"/>
      <c r="Z52" s="18"/>
      <c r="AA52" s="107"/>
      <c r="AB52" s="107"/>
      <c r="AC52" s="107"/>
      <c r="AD52" s="107"/>
      <c r="AE52" s="107"/>
      <c r="AF52" s="18"/>
      <c r="AG52" s="107"/>
      <c r="AH52" s="107"/>
      <c r="AI52" s="107"/>
      <c r="AJ52" s="107"/>
      <c r="AK52" s="107"/>
      <c r="AL52" s="18"/>
      <c r="AM52" s="107"/>
      <c r="AN52" s="107"/>
      <c r="AO52" s="107"/>
      <c r="AP52" s="107"/>
      <c r="AQ52" s="107"/>
      <c r="AR52" s="18"/>
      <c r="AS52" s="107"/>
      <c r="AT52" s="107"/>
      <c r="AU52" s="107"/>
      <c r="AV52" s="107"/>
      <c r="AW52" s="107"/>
      <c r="AX52" s="18"/>
      <c r="AY52" s="107"/>
      <c r="AZ52" s="107"/>
      <c r="BA52" s="107"/>
      <c r="BB52" s="107"/>
      <c r="BC52" s="107"/>
      <c r="BD52" s="18"/>
      <c r="BE52" s="107"/>
      <c r="BF52" s="107"/>
      <c r="BG52" s="107"/>
      <c r="BH52" s="107"/>
      <c r="BJ52" s="18"/>
      <c r="BK52" s="107"/>
      <c r="BL52" s="107"/>
      <c r="BM52" s="107"/>
      <c r="BN52" s="107"/>
      <c r="BR52" s="142"/>
    </row>
    <row r="53" spans="1:70" s="7" customFormat="1" ht="11.25" x14ac:dyDescent="0.2">
      <c r="A53" s="544" t="s">
        <v>3051</v>
      </c>
      <c r="B53" s="18"/>
      <c r="C53" s="107"/>
      <c r="D53" s="107">
        <f>ROUND(B53,1)-ROUND(F53,1)</f>
        <v>8</v>
      </c>
      <c r="E53" s="107"/>
      <c r="F53" s="107">
        <v>-7.9981637985965008</v>
      </c>
      <c r="G53" s="107"/>
      <c r="H53" s="18">
        <v>-21.6</v>
      </c>
      <c r="I53" s="107"/>
      <c r="J53" s="107">
        <f>ROUND(H53,1)-ROUND(L53,1)</f>
        <v>-11.700000000000001</v>
      </c>
      <c r="K53" s="107"/>
      <c r="L53" s="107">
        <v>-9.8839087515386996</v>
      </c>
      <c r="M53" s="107"/>
      <c r="N53" s="18">
        <v>-21.015970801868924</v>
      </c>
      <c r="O53" s="107"/>
      <c r="P53" s="107">
        <f>ROUND(N53,1)-ROUND(R53,1)</f>
        <v>-10.8</v>
      </c>
      <c r="Q53" s="107"/>
      <c r="R53" s="107">
        <v>-10.156774293117007</v>
      </c>
      <c r="S53" s="107"/>
      <c r="T53" s="18">
        <v>-31.560137216796004</v>
      </c>
      <c r="U53" s="107"/>
      <c r="V53" s="107">
        <v>-16.433795755734508</v>
      </c>
      <c r="W53" s="107"/>
      <c r="X53" s="107">
        <v>-15.2263414610615</v>
      </c>
      <c r="Y53" s="107"/>
      <c r="Z53" s="18">
        <v>-29.3191062563494</v>
      </c>
      <c r="AA53" s="107"/>
      <c r="AB53" s="107">
        <v>-6.2</v>
      </c>
      <c r="AC53" s="107"/>
      <c r="AD53" s="107">
        <v>-23.1</v>
      </c>
      <c r="AE53" s="107"/>
      <c r="AF53" s="18">
        <v>-69.867339761417696</v>
      </c>
      <c r="AG53" s="107"/>
      <c r="AH53" s="107">
        <v>-46.667339761417693</v>
      </c>
      <c r="AI53" s="107"/>
      <c r="AJ53" s="107">
        <v>-23.2</v>
      </c>
      <c r="AK53" s="107"/>
      <c r="AL53" s="18">
        <v>-44.5</v>
      </c>
      <c r="AM53" s="107"/>
      <c r="AN53" s="107">
        <v>-33.5</v>
      </c>
      <c r="AO53" s="107"/>
      <c r="AP53" s="107">
        <v>-11</v>
      </c>
      <c r="AQ53" s="142"/>
      <c r="AR53" s="18">
        <v>-24.6</v>
      </c>
      <c r="AS53" s="142"/>
      <c r="AT53" s="107">
        <v>-17.200000000000003</v>
      </c>
      <c r="AU53" s="107"/>
      <c r="AV53" s="107">
        <v>-7.4</v>
      </c>
      <c r="AW53" s="107"/>
      <c r="AX53" s="18">
        <v>-27.4</v>
      </c>
      <c r="AY53" s="107"/>
      <c r="AZ53" s="107">
        <v>-15.499999999999998</v>
      </c>
      <c r="BA53" s="107"/>
      <c r="BB53" s="107">
        <f>-0.3-11.6</f>
        <v>-11.9</v>
      </c>
      <c r="BC53" s="107"/>
      <c r="BD53" s="18">
        <f>-77.63+13.8+20.3+6+4+1.6</f>
        <v>-31.93</v>
      </c>
      <c r="BE53" s="107"/>
      <c r="BF53" s="107">
        <f>BD53-BH53</f>
        <v>-13.630000000000003</v>
      </c>
      <c r="BG53" s="142"/>
      <c r="BH53" s="107">
        <v>-18.299999999999997</v>
      </c>
      <c r="BJ53" s="18"/>
      <c r="BK53" s="142"/>
      <c r="BL53" s="107"/>
      <c r="BM53" s="142"/>
      <c r="BN53" s="107"/>
      <c r="BR53" s="142"/>
    </row>
    <row r="54" spans="1:70" s="7" customFormat="1" ht="11.25" x14ac:dyDescent="0.2">
      <c r="A54" s="150"/>
      <c r="B54" s="19"/>
      <c r="C54" s="109"/>
      <c r="D54" s="107"/>
      <c r="E54" s="107"/>
      <c r="F54" s="107"/>
      <c r="G54" s="107"/>
      <c r="H54" s="19"/>
      <c r="I54" s="109"/>
      <c r="J54" s="107"/>
      <c r="K54" s="107"/>
      <c r="L54" s="107"/>
      <c r="M54" s="107"/>
      <c r="N54" s="19"/>
      <c r="O54" s="109"/>
      <c r="P54" s="107"/>
      <c r="Q54" s="107"/>
      <c r="R54" s="107"/>
      <c r="S54" s="109"/>
      <c r="T54" s="19"/>
      <c r="U54" s="109"/>
      <c r="V54" s="107"/>
      <c r="W54" s="107"/>
      <c r="X54" s="107"/>
      <c r="Y54" s="109"/>
      <c r="Z54" s="19"/>
      <c r="AA54" s="109"/>
      <c r="AB54" s="107"/>
      <c r="AC54" s="107"/>
      <c r="AD54" s="107"/>
      <c r="AE54" s="109"/>
      <c r="AF54" s="19"/>
      <c r="AG54" s="109"/>
      <c r="AH54" s="107"/>
      <c r="AI54" s="107"/>
      <c r="AJ54" s="107"/>
      <c r="AK54" s="109"/>
      <c r="AL54" s="19"/>
      <c r="AM54" s="109"/>
      <c r="AN54" s="107"/>
      <c r="AO54" s="109"/>
      <c r="AP54" s="107"/>
      <c r="AQ54" s="142"/>
      <c r="AR54" s="19"/>
      <c r="AS54" s="142"/>
      <c r="AT54" s="107"/>
      <c r="AU54" s="109"/>
      <c r="AV54" s="107"/>
      <c r="AW54" s="142"/>
      <c r="AX54" s="19"/>
      <c r="AY54" s="142"/>
      <c r="AZ54" s="107"/>
      <c r="BA54" s="109"/>
      <c r="BB54" s="107"/>
      <c r="BC54" s="142"/>
      <c r="BD54" s="19"/>
      <c r="BE54" s="142"/>
      <c r="BF54" s="107"/>
      <c r="BG54" s="142"/>
      <c r="BH54" s="109"/>
      <c r="BJ54" s="19"/>
      <c r="BK54" s="142"/>
      <c r="BL54" s="107"/>
      <c r="BM54" s="142"/>
      <c r="BN54" s="109"/>
      <c r="BR54" s="142"/>
    </row>
    <row r="55" spans="1:70" s="20" customFormat="1" ht="11.25" x14ac:dyDescent="0.2">
      <c r="A55" s="164" t="s">
        <v>3052</v>
      </c>
      <c r="B55" s="167"/>
      <c r="C55" s="166"/>
      <c r="D55" s="541">
        <f>ROUND(B55,1)-ROUND(F55,1)</f>
        <v>-373.3</v>
      </c>
      <c r="E55" s="541"/>
      <c r="F55" s="541">
        <f>F46+F51+F53</f>
        <v>373.30183620140343</v>
      </c>
      <c r="G55" s="541"/>
      <c r="H55" s="167">
        <v>672.56947105999984</v>
      </c>
      <c r="I55" s="166"/>
      <c r="J55" s="541">
        <f>ROUND(H55,1)-ROUND(L55,1)</f>
        <v>350</v>
      </c>
      <c r="K55" s="541"/>
      <c r="L55" s="541">
        <v>322.61609124846126</v>
      </c>
      <c r="M55" s="541"/>
      <c r="N55" s="167">
        <v>825.62829490399156</v>
      </c>
      <c r="O55" s="166"/>
      <c r="P55" s="541">
        <f>ROUND(N55,1)-ROUND(R55,1)</f>
        <v>488.3</v>
      </c>
      <c r="Q55" s="541"/>
      <c r="R55" s="541">
        <v>337.31789065774785</v>
      </c>
      <c r="S55" s="166"/>
      <c r="T55" s="167">
        <v>742.72312119088667</v>
      </c>
      <c r="U55" s="166"/>
      <c r="V55" s="541">
        <v>440.12906707127615</v>
      </c>
      <c r="W55" s="541"/>
      <c r="X55" s="541">
        <v>302.59405411961063</v>
      </c>
      <c r="Y55" s="166"/>
      <c r="Z55" s="167">
        <v>645.20000000000005</v>
      </c>
      <c r="AA55" s="166"/>
      <c r="AB55" s="541">
        <v>392.6</v>
      </c>
      <c r="AC55" s="541"/>
      <c r="AD55" s="166">
        <v>252.6</v>
      </c>
      <c r="AE55" s="166"/>
      <c r="AF55" s="167">
        <v>754.8809328217385</v>
      </c>
      <c r="AG55" s="166"/>
      <c r="AH55" s="552">
        <v>464.08093282173854</v>
      </c>
      <c r="AI55" s="166"/>
      <c r="AJ55" s="166">
        <v>290.8</v>
      </c>
      <c r="AK55" s="166"/>
      <c r="AL55" s="167">
        <v>920.30000000000007</v>
      </c>
      <c r="AM55" s="166"/>
      <c r="AN55" s="166">
        <v>571.80000000000007</v>
      </c>
      <c r="AO55" s="166"/>
      <c r="AP55" s="166">
        <v>348.5</v>
      </c>
      <c r="AQ55" s="166"/>
      <c r="AR55" s="167">
        <v>787.3</v>
      </c>
      <c r="AS55" s="166"/>
      <c r="AT55" s="166">
        <v>490.7</v>
      </c>
      <c r="AU55" s="166"/>
      <c r="AV55" s="166">
        <v>296.60000000000002</v>
      </c>
      <c r="AW55" s="166"/>
      <c r="AX55" s="167">
        <v>743</v>
      </c>
      <c r="AY55" s="166"/>
      <c r="AZ55" s="166">
        <v>382.69999999999993</v>
      </c>
      <c r="BA55" s="166"/>
      <c r="BB55" s="166">
        <f>SUM(BB53,BB51,BB46)</f>
        <v>360.3</v>
      </c>
      <c r="BC55" s="166"/>
      <c r="BD55" s="167">
        <f>SUM(BD53,BD51,BD46)</f>
        <v>1025.6168520310616</v>
      </c>
      <c r="BE55" s="166"/>
      <c r="BF55" s="166">
        <f>SUM(BF53,BF51,BF46)</f>
        <v>756.51685203106172</v>
      </c>
      <c r="BG55" s="166"/>
      <c r="BH55" s="166">
        <f>SUM(BH53,BH51,BH46)</f>
        <v>269</v>
      </c>
      <c r="BJ55" s="167"/>
      <c r="BK55" s="166"/>
      <c r="BL55" s="166"/>
      <c r="BM55" s="166"/>
      <c r="BN55" s="166"/>
      <c r="BR55" s="150"/>
    </row>
    <row r="56" spans="1:70" s="7" customFormat="1" ht="11.25" x14ac:dyDescent="0.2">
      <c r="A56" s="142"/>
      <c r="B56" s="27"/>
      <c r="C56" s="107"/>
      <c r="D56" s="531"/>
      <c r="E56" s="107"/>
      <c r="F56" s="531"/>
      <c r="G56" s="531"/>
      <c r="H56" s="27"/>
      <c r="I56" s="107"/>
      <c r="J56" s="531"/>
      <c r="K56" s="107"/>
      <c r="L56" s="531"/>
      <c r="M56" s="531"/>
      <c r="N56" s="27"/>
      <c r="O56" s="107"/>
      <c r="P56" s="531"/>
      <c r="Q56" s="107"/>
      <c r="R56" s="107"/>
      <c r="S56" s="107"/>
      <c r="T56" s="27"/>
      <c r="U56" s="107"/>
      <c r="V56" s="531"/>
      <c r="W56" s="531"/>
      <c r="X56" s="107"/>
      <c r="Y56" s="107"/>
      <c r="Z56" s="27"/>
      <c r="AA56" s="107"/>
      <c r="AB56" s="531"/>
      <c r="AC56" s="531"/>
      <c r="AD56" s="107"/>
      <c r="AE56" s="107"/>
      <c r="AF56" s="27"/>
      <c r="AG56" s="107"/>
      <c r="AH56" s="531"/>
      <c r="AI56" s="107"/>
      <c r="AJ56" s="107"/>
      <c r="AK56" s="107"/>
      <c r="AL56" s="27"/>
      <c r="AM56" s="107"/>
      <c r="AN56" s="107"/>
      <c r="AO56" s="107"/>
      <c r="AP56" s="107"/>
      <c r="AQ56" s="107"/>
      <c r="AR56" s="27"/>
      <c r="AS56" s="107"/>
      <c r="AT56" s="107"/>
      <c r="AU56" s="107"/>
      <c r="AV56" s="107"/>
      <c r="AW56" s="107"/>
      <c r="AX56" s="27"/>
      <c r="AY56" s="107"/>
      <c r="AZ56" s="107"/>
      <c r="BA56" s="107"/>
      <c r="BB56" s="107"/>
      <c r="BC56" s="107"/>
      <c r="BD56" s="27"/>
      <c r="BE56" s="107"/>
      <c r="BF56" s="107"/>
      <c r="BG56" s="107"/>
      <c r="BH56" s="107"/>
      <c r="BJ56" s="27"/>
      <c r="BK56" s="107"/>
      <c r="BL56" s="107"/>
      <c r="BM56" s="107"/>
      <c r="BN56" s="107"/>
      <c r="BR56" s="142"/>
    </row>
    <row r="57" spans="1:70" s="7" customFormat="1" ht="11.25" x14ac:dyDescent="0.2">
      <c r="A57" s="149" t="s">
        <v>59</v>
      </c>
      <c r="B57" s="18"/>
      <c r="C57" s="107"/>
      <c r="D57" s="107"/>
      <c r="E57" s="107"/>
      <c r="F57" s="107"/>
      <c r="G57" s="107"/>
      <c r="H57" s="18"/>
      <c r="I57" s="107"/>
      <c r="J57" s="107"/>
      <c r="K57" s="107"/>
      <c r="L57" s="107"/>
      <c r="M57" s="107"/>
      <c r="N57" s="18"/>
      <c r="O57" s="107"/>
      <c r="P57" s="107"/>
      <c r="Q57" s="107"/>
      <c r="R57" s="107"/>
      <c r="S57" s="107"/>
      <c r="T57" s="18"/>
      <c r="U57" s="107"/>
      <c r="V57" s="107"/>
      <c r="W57" s="107"/>
      <c r="X57" s="107"/>
      <c r="Y57" s="107"/>
      <c r="Z57" s="18"/>
      <c r="AA57" s="107"/>
      <c r="AB57" s="107"/>
      <c r="AC57" s="107"/>
      <c r="AD57" s="107"/>
      <c r="AE57" s="107"/>
      <c r="AF57" s="18"/>
      <c r="AG57" s="107"/>
      <c r="AH57" s="107"/>
      <c r="AI57" s="107"/>
      <c r="AJ57" s="107"/>
      <c r="AK57" s="107"/>
      <c r="AL57" s="18"/>
      <c r="AM57" s="107"/>
      <c r="AN57" s="107"/>
      <c r="AO57" s="107"/>
      <c r="AP57" s="107"/>
      <c r="AQ57" s="142"/>
      <c r="AR57" s="18"/>
      <c r="AS57" s="142"/>
      <c r="AT57" s="107"/>
      <c r="AU57" s="107"/>
      <c r="AV57" s="107"/>
      <c r="AW57" s="142"/>
      <c r="AX57" s="18"/>
      <c r="AY57" s="142"/>
      <c r="AZ57" s="107"/>
      <c r="BA57" s="107"/>
      <c r="BB57" s="107"/>
      <c r="BC57" s="142"/>
      <c r="BD57" s="18"/>
      <c r="BE57" s="142"/>
      <c r="BF57" s="107"/>
      <c r="BG57" s="142"/>
      <c r="BH57" s="107"/>
      <c r="BJ57" s="18"/>
      <c r="BK57" s="142"/>
      <c r="BL57" s="107"/>
      <c r="BM57" s="142"/>
      <c r="BN57" s="107"/>
      <c r="BR57" s="142"/>
    </row>
    <row r="58" spans="1:70" s="7" customFormat="1" ht="11.25" x14ac:dyDescent="0.2">
      <c r="A58" s="142" t="s">
        <v>43</v>
      </c>
      <c r="B58" s="18"/>
      <c r="C58" s="107"/>
      <c r="D58" s="107">
        <f t="shared" ref="D58:D60" si="21">ROUND(B58,1)-ROUND(F58,1)</f>
        <v>13.5</v>
      </c>
      <c r="E58" s="107"/>
      <c r="F58" s="107">
        <v>-13.464013810000001</v>
      </c>
      <c r="G58" s="107"/>
      <c r="H58" s="18">
        <v>-26.9</v>
      </c>
      <c r="I58" s="107"/>
      <c r="J58" s="107">
        <f t="shared" ref="J58:J60" si="22">ROUND(H58,1)-ROUND(L58,1)</f>
        <v>-11.599999999999998</v>
      </c>
      <c r="K58" s="107"/>
      <c r="L58" s="107">
        <v>-15.30888111</v>
      </c>
      <c r="M58" s="107"/>
      <c r="N58" s="18">
        <v>-31.923453110000001</v>
      </c>
      <c r="O58" s="107"/>
      <c r="P58" s="107">
        <f t="shared" ref="P58:P60" si="23">ROUND(N58,1)-ROUND(R58,1)</f>
        <v>-15</v>
      </c>
      <c r="Q58" s="107"/>
      <c r="R58" s="107">
        <v>-16.936611870000004</v>
      </c>
      <c r="S58" s="107"/>
      <c r="T58" s="18">
        <v>-30.444348379999997</v>
      </c>
      <c r="U58" s="107"/>
      <c r="V58" s="107">
        <v>-14.847053239999997</v>
      </c>
      <c r="W58" s="107"/>
      <c r="X58" s="107">
        <v>-15.59729514</v>
      </c>
      <c r="Y58" s="107"/>
      <c r="Z58" s="18">
        <v>-34.20074485</v>
      </c>
      <c r="AA58" s="107"/>
      <c r="AB58" s="107">
        <v>-17.62500485</v>
      </c>
      <c r="AC58" s="107"/>
      <c r="AD58" s="107">
        <v>-16.57574</v>
      </c>
      <c r="AE58" s="107"/>
      <c r="AF58" s="18">
        <v>31.754252140000002</v>
      </c>
      <c r="AG58" s="107"/>
      <c r="AH58" s="107">
        <v>16.054252140000003</v>
      </c>
      <c r="AI58" s="107"/>
      <c r="AJ58" s="107">
        <v>15.7</v>
      </c>
      <c r="AK58" s="107"/>
      <c r="AL58" s="18">
        <v>27.2</v>
      </c>
      <c r="AM58" s="107"/>
      <c r="AN58" s="107">
        <v>13.7</v>
      </c>
      <c r="AO58" s="107"/>
      <c r="AP58" s="107">
        <v>13.5</v>
      </c>
      <c r="AQ58" s="142"/>
      <c r="AR58" s="18">
        <v>29.2</v>
      </c>
      <c r="AS58" s="142"/>
      <c r="AT58" s="107">
        <v>14.3</v>
      </c>
      <c r="AU58" s="107"/>
      <c r="AV58" s="107">
        <v>14.899999999999999</v>
      </c>
      <c r="AW58" s="142"/>
      <c r="AX58" s="18">
        <v>27.099999999999994</v>
      </c>
      <c r="AY58" s="142"/>
      <c r="AZ58" s="107">
        <v>14.199999999999996</v>
      </c>
      <c r="BA58" s="107"/>
      <c r="BB58" s="107">
        <v>12.899999999999999</v>
      </c>
      <c r="BC58" s="142"/>
      <c r="BD58" s="18">
        <v>28.399999999999977</v>
      </c>
      <c r="BE58" s="142"/>
      <c r="BF58" s="107">
        <f>BD58-BH58</f>
        <v>14.399999999999977</v>
      </c>
      <c r="BG58" s="142"/>
      <c r="BH58" s="107">
        <v>14</v>
      </c>
      <c r="BI58" s="7" t="e">
        <v>#REF!</v>
      </c>
      <c r="BJ58" s="18"/>
      <c r="BK58" s="142"/>
      <c r="BL58" s="107"/>
      <c r="BM58" s="142"/>
      <c r="BN58" s="107"/>
      <c r="BR58" s="142"/>
    </row>
    <row r="59" spans="1:70" s="7" customFormat="1" ht="11.25" x14ac:dyDescent="0.2">
      <c r="A59" s="142" t="s">
        <v>150</v>
      </c>
      <c r="B59" s="18"/>
      <c r="C59" s="107"/>
      <c r="D59" s="107">
        <f t="shared" si="21"/>
        <v>19</v>
      </c>
      <c r="E59" s="107"/>
      <c r="F59" s="107">
        <v>-19.028122667293601</v>
      </c>
      <c r="G59" s="107"/>
      <c r="H59" s="18">
        <v>-40.5</v>
      </c>
      <c r="I59" s="107"/>
      <c r="J59" s="107">
        <f t="shared" si="22"/>
        <v>-20.5</v>
      </c>
      <c r="K59" s="107"/>
      <c r="L59" s="107">
        <v>-19.962966522198901</v>
      </c>
      <c r="M59" s="107"/>
      <c r="N59" s="18">
        <v>-36.683043139146001</v>
      </c>
      <c r="O59" s="107"/>
      <c r="P59" s="107">
        <f t="shared" si="23"/>
        <v>-19.100000000000001</v>
      </c>
      <c r="Q59" s="107"/>
      <c r="R59" s="107">
        <v>-17.599766329923398</v>
      </c>
      <c r="S59" s="107"/>
      <c r="T59" s="18">
        <v>-26.217267708907499</v>
      </c>
      <c r="U59" s="107"/>
      <c r="V59" s="107">
        <v>-14.4015446574805</v>
      </c>
      <c r="W59" s="107"/>
      <c r="X59" s="107">
        <v>-11.815723051427</v>
      </c>
      <c r="Y59" s="107"/>
      <c r="Z59" s="18">
        <v>-27.180946488790301</v>
      </c>
      <c r="AA59" s="107"/>
      <c r="AB59" s="107">
        <v>-14.260439478126601</v>
      </c>
      <c r="AC59" s="107"/>
      <c r="AD59" s="107">
        <v>-12.9205070106637</v>
      </c>
      <c r="AE59" s="107"/>
      <c r="AF59" s="18">
        <v>28.305536992576801</v>
      </c>
      <c r="AG59" s="107"/>
      <c r="AH59" s="107">
        <v>13.405536992576801</v>
      </c>
      <c r="AI59" s="107"/>
      <c r="AJ59" s="107">
        <v>14.9</v>
      </c>
      <c r="AK59" s="107"/>
      <c r="AL59" s="18">
        <v>29.4</v>
      </c>
      <c r="AM59" s="107"/>
      <c r="AN59" s="107">
        <v>14.899999999999999</v>
      </c>
      <c r="AO59" s="107"/>
      <c r="AP59" s="107">
        <v>14.5</v>
      </c>
      <c r="AQ59" s="142"/>
      <c r="AR59" s="18">
        <v>14.3</v>
      </c>
      <c r="AS59" s="142"/>
      <c r="AT59" s="107">
        <v>9.399999999999995</v>
      </c>
      <c r="AU59" s="107"/>
      <c r="AV59" s="107">
        <v>4.9000000000000057</v>
      </c>
      <c r="AW59" s="142"/>
      <c r="AX59" s="18">
        <v>12.5</v>
      </c>
      <c r="AY59" s="142"/>
      <c r="AZ59" s="107">
        <v>6.5</v>
      </c>
      <c r="BA59" s="107"/>
      <c r="BB59" s="107">
        <v>6</v>
      </c>
      <c r="BC59" s="142"/>
      <c r="BD59" s="18">
        <v>9.5</v>
      </c>
      <c r="BE59" s="142"/>
      <c r="BF59" s="107">
        <f>BD59-BH59</f>
        <v>5.5999999999999943</v>
      </c>
      <c r="BG59" s="142"/>
      <c r="BH59" s="107">
        <v>3.9000000000000057</v>
      </c>
      <c r="BI59" s="13"/>
      <c r="BJ59" s="18"/>
      <c r="BK59" s="142"/>
      <c r="BL59" s="107"/>
      <c r="BM59" s="142"/>
      <c r="BN59" s="107"/>
      <c r="BR59" s="142"/>
    </row>
    <row r="60" spans="1:70" s="7" customFormat="1" ht="11.25" x14ac:dyDescent="0.2">
      <c r="A60" s="150" t="s">
        <v>13</v>
      </c>
      <c r="B60" s="25"/>
      <c r="C60" s="108"/>
      <c r="D60" s="108">
        <f t="shared" si="21"/>
        <v>32.5</v>
      </c>
      <c r="E60" s="108"/>
      <c r="F60" s="108">
        <v>-32.5</v>
      </c>
      <c r="G60" s="108"/>
      <c r="H60" s="25">
        <v>-67.400000000000006</v>
      </c>
      <c r="I60" s="108"/>
      <c r="J60" s="108">
        <f t="shared" si="22"/>
        <v>-32.100000000000009</v>
      </c>
      <c r="K60" s="108"/>
      <c r="L60" s="108">
        <v>-35.271847632198899</v>
      </c>
      <c r="M60" s="108"/>
      <c r="N60" s="25">
        <v>-68.606496249146005</v>
      </c>
      <c r="O60" s="108"/>
      <c r="P60" s="108">
        <f t="shared" si="23"/>
        <v>-34.099999999999994</v>
      </c>
      <c r="Q60" s="108"/>
      <c r="R60" s="108">
        <v>-34.536378199923405</v>
      </c>
      <c r="S60" s="108"/>
      <c r="T60" s="25">
        <v>-56.561616088907492</v>
      </c>
      <c r="U60" s="108"/>
      <c r="V60" s="108">
        <v>-29.248597897480497</v>
      </c>
      <c r="W60" s="108"/>
      <c r="X60" s="108">
        <v>-27.413018191427</v>
      </c>
      <c r="Y60" s="108"/>
      <c r="Z60" s="25">
        <v>-61.381691338790304</v>
      </c>
      <c r="AA60" s="108"/>
      <c r="AB60" s="108">
        <v>-31.885444328126603</v>
      </c>
      <c r="AC60" s="108"/>
      <c r="AD60" s="108">
        <v>-29.496247010663701</v>
      </c>
      <c r="AE60" s="108"/>
      <c r="AF60" s="25">
        <v>60.059789132576803</v>
      </c>
      <c r="AG60" s="108"/>
      <c r="AH60" s="108">
        <v>29.459789132576802</v>
      </c>
      <c r="AI60" s="108"/>
      <c r="AJ60" s="108">
        <v>30.6</v>
      </c>
      <c r="AK60" s="108"/>
      <c r="AL60" s="25">
        <v>56.599999999999994</v>
      </c>
      <c r="AM60" s="108"/>
      <c r="AN60" s="108">
        <v>28.599999999999998</v>
      </c>
      <c r="AO60" s="108"/>
      <c r="AP60" s="108">
        <v>28</v>
      </c>
      <c r="AQ60" s="108"/>
      <c r="AR60" s="25">
        <v>43.5</v>
      </c>
      <c r="AS60" s="108">
        <v>0</v>
      </c>
      <c r="AT60" s="108">
        <v>23.699999999999996</v>
      </c>
      <c r="AU60" s="108"/>
      <c r="AV60" s="108">
        <v>19.800000000000004</v>
      </c>
      <c r="AW60" s="108">
        <v>0</v>
      </c>
      <c r="AX60" s="25">
        <v>39.599999999999994</v>
      </c>
      <c r="AY60" s="108">
        <v>0</v>
      </c>
      <c r="AZ60" s="108">
        <v>20.699999999999996</v>
      </c>
      <c r="BA60" s="108">
        <v>0</v>
      </c>
      <c r="BB60" s="108">
        <f>SUM(BB58:BB59)</f>
        <v>18.899999999999999</v>
      </c>
      <c r="BC60" s="108">
        <v>0</v>
      </c>
      <c r="BD60" s="25">
        <f>SUM(BD58:BD59)</f>
        <v>37.899999999999977</v>
      </c>
      <c r="BE60" s="108">
        <v>0</v>
      </c>
      <c r="BF60" s="108">
        <f>SUM(BF58:BF59)</f>
        <v>19.999999999999972</v>
      </c>
      <c r="BG60" s="108">
        <v>0</v>
      </c>
      <c r="BH60" s="108">
        <f>SUM(BH58:BH59)</f>
        <v>17.900000000000006</v>
      </c>
      <c r="BJ60" s="25"/>
      <c r="BK60" s="108"/>
      <c r="BL60" s="108"/>
      <c r="BM60" s="108"/>
      <c r="BN60" s="108"/>
      <c r="BR60" s="142"/>
    </row>
    <row r="61" spans="1:70" s="7" customFormat="1" ht="11.25" x14ac:dyDescent="0.2">
      <c r="A61" s="150"/>
      <c r="B61" s="18"/>
      <c r="C61" s="107"/>
      <c r="D61" s="107"/>
      <c r="E61" s="107"/>
      <c r="F61" s="107"/>
      <c r="G61" s="107"/>
      <c r="H61" s="18"/>
      <c r="I61" s="107"/>
      <c r="J61" s="107"/>
      <c r="K61" s="107"/>
      <c r="L61" s="107"/>
      <c r="M61" s="107"/>
      <c r="N61" s="18"/>
      <c r="O61" s="107"/>
      <c r="P61" s="107"/>
      <c r="Q61" s="107"/>
      <c r="R61" s="107"/>
      <c r="S61" s="107"/>
      <c r="T61" s="18"/>
      <c r="U61" s="107"/>
      <c r="V61" s="107"/>
      <c r="W61" s="107"/>
      <c r="X61" s="107"/>
      <c r="Y61" s="107"/>
      <c r="Z61" s="18"/>
      <c r="AA61" s="107"/>
      <c r="AB61" s="107"/>
      <c r="AC61" s="107"/>
      <c r="AD61" s="107"/>
      <c r="AE61" s="107"/>
      <c r="AF61" s="18"/>
      <c r="AG61" s="107"/>
      <c r="AH61" s="107"/>
      <c r="AI61" s="107"/>
      <c r="AJ61" s="107"/>
      <c r="AK61" s="107"/>
      <c r="AL61" s="18"/>
      <c r="AM61" s="107"/>
      <c r="AN61" s="107"/>
      <c r="AO61" s="107"/>
      <c r="AP61" s="107"/>
      <c r="AQ61" s="107"/>
      <c r="AR61" s="18"/>
      <c r="AS61" s="107"/>
      <c r="AT61" s="107"/>
      <c r="AU61" s="107"/>
      <c r="AV61" s="107"/>
      <c r="AW61" s="107"/>
      <c r="AX61" s="18"/>
      <c r="AY61" s="107"/>
      <c r="AZ61" s="107"/>
      <c r="BA61" s="107"/>
      <c r="BB61" s="107"/>
      <c r="BC61" s="107"/>
      <c r="BD61" s="18"/>
      <c r="BE61" s="107"/>
      <c r="BF61" s="107"/>
      <c r="BG61" s="107"/>
      <c r="BH61" s="107"/>
      <c r="BJ61" s="18"/>
      <c r="BK61" s="107"/>
      <c r="BL61" s="107"/>
      <c r="BM61" s="107"/>
      <c r="BN61" s="107"/>
      <c r="BR61" s="142"/>
    </row>
    <row r="62" spans="1:70" s="7" customFormat="1" ht="11.25" x14ac:dyDescent="0.2">
      <c r="A62" s="142" t="s">
        <v>46</v>
      </c>
      <c r="B62" s="18"/>
      <c r="C62" s="107"/>
      <c r="D62" s="107">
        <f t="shared" ref="D62:D65" si="24">ROUND(B62,1)-ROUND(F62,1)</f>
        <v>57.1</v>
      </c>
      <c r="E62" s="107"/>
      <c r="F62" s="107">
        <v>-57.080731790758399</v>
      </c>
      <c r="G62" s="107"/>
      <c r="H62" s="18">
        <v>-93.9</v>
      </c>
      <c r="I62" s="107"/>
      <c r="J62" s="107">
        <f t="shared" ref="J62:J65" si="25">ROUND(H62,1)-ROUND(L62,1)</f>
        <v>-44.900000000000006</v>
      </c>
      <c r="K62" s="107"/>
      <c r="L62" s="107">
        <v>-48.971405312097602</v>
      </c>
      <c r="M62" s="107"/>
      <c r="N62" s="18">
        <v>-98.95206394365951</v>
      </c>
      <c r="O62" s="107"/>
      <c r="P62" s="107">
        <f t="shared" ref="P62:P65" si="26">ROUND(N62,1)-ROUND(R62,1)</f>
        <v>-51.9</v>
      </c>
      <c r="Q62" s="107"/>
      <c r="R62" s="107">
        <v>-47.120729700457602</v>
      </c>
      <c r="S62" s="107"/>
      <c r="T62" s="18">
        <v>-89.852787863722995</v>
      </c>
      <c r="U62" s="107"/>
      <c r="V62" s="107">
        <v>-44.366335357722598</v>
      </c>
      <c r="W62" s="107"/>
      <c r="X62" s="107">
        <v>-45.486452506000397</v>
      </c>
      <c r="Y62" s="107"/>
      <c r="Z62" s="18">
        <v>-81.7</v>
      </c>
      <c r="AA62" s="107"/>
      <c r="AB62" s="107">
        <v>-43.3</v>
      </c>
      <c r="AC62" s="107"/>
      <c r="AD62" s="107">
        <v>-38.4</v>
      </c>
      <c r="AE62" s="107"/>
      <c r="AF62" s="18">
        <v>72.634466773926491</v>
      </c>
      <c r="AG62" s="107"/>
      <c r="AH62" s="107">
        <v>38.034466773926489</v>
      </c>
      <c r="AI62" s="107"/>
      <c r="AJ62" s="107">
        <v>34.6</v>
      </c>
      <c r="AK62" s="107"/>
      <c r="AL62" s="18">
        <v>70.5</v>
      </c>
      <c r="AM62" s="107"/>
      <c r="AN62" s="107">
        <v>34.299999999999997</v>
      </c>
      <c r="AO62" s="107"/>
      <c r="AP62" s="107">
        <v>36.200000000000003</v>
      </c>
      <c r="AQ62" s="142"/>
      <c r="AR62" s="18">
        <v>73.3</v>
      </c>
      <c r="AS62" s="142"/>
      <c r="AT62" s="107">
        <v>37.5</v>
      </c>
      <c r="AU62" s="107"/>
      <c r="AV62" s="107">
        <v>35.799999999999997</v>
      </c>
      <c r="AW62" s="142"/>
      <c r="AX62" s="18">
        <v>99.7</v>
      </c>
      <c r="AY62" s="142"/>
      <c r="AZ62" s="107">
        <v>46.899999999999991</v>
      </c>
      <c r="BA62" s="107"/>
      <c r="BB62" s="107">
        <v>52.800000000000011</v>
      </c>
      <c r="BC62" s="142"/>
      <c r="BD62" s="18">
        <f>24.0357723313465-1.6</f>
        <v>22.435772331346499</v>
      </c>
      <c r="BE62" s="142"/>
      <c r="BF62" s="107">
        <f>BD62-BH62</f>
        <v>22.435772331346499</v>
      </c>
      <c r="BG62" s="142"/>
      <c r="BH62" s="107">
        <v>0</v>
      </c>
      <c r="BJ62" s="18"/>
      <c r="BK62" s="142"/>
      <c r="BL62" s="107"/>
      <c r="BM62" s="142"/>
      <c r="BN62" s="107"/>
      <c r="BR62" s="142"/>
    </row>
    <row r="63" spans="1:70" s="7" customFormat="1" ht="11.25" x14ac:dyDescent="0.2">
      <c r="A63" s="142" t="s">
        <v>47</v>
      </c>
      <c r="B63" s="18"/>
      <c r="C63" s="142"/>
      <c r="D63" s="107">
        <f t="shared" si="24"/>
        <v>40.299999999999997</v>
      </c>
      <c r="E63" s="107"/>
      <c r="F63" s="107">
        <v>-40.259161400167102</v>
      </c>
      <c r="G63" s="107"/>
      <c r="H63" s="18">
        <v>-81.5</v>
      </c>
      <c r="I63" s="142"/>
      <c r="J63" s="107">
        <f t="shared" si="25"/>
        <v>-41.4</v>
      </c>
      <c r="K63" s="107"/>
      <c r="L63" s="107">
        <v>-40.147228047073</v>
      </c>
      <c r="M63" s="107"/>
      <c r="N63" s="18">
        <v>-78.857233128697203</v>
      </c>
      <c r="O63" s="142"/>
      <c r="P63" s="107">
        <f t="shared" si="26"/>
        <v>-40.100000000000009</v>
      </c>
      <c r="Q63" s="107"/>
      <c r="R63" s="107">
        <v>-38.8122119977699</v>
      </c>
      <c r="S63" s="142"/>
      <c r="T63" s="18">
        <v>-73.850845807661003</v>
      </c>
      <c r="U63" s="142"/>
      <c r="V63" s="107">
        <v>-38.647595860070005</v>
      </c>
      <c r="W63" s="107"/>
      <c r="X63" s="107">
        <v>-35.303249947590999</v>
      </c>
      <c r="Y63" s="142"/>
      <c r="Z63" s="18">
        <v>-38.700000000000003</v>
      </c>
      <c r="AA63" s="142"/>
      <c r="AB63" s="107">
        <v>-25</v>
      </c>
      <c r="AC63" s="107"/>
      <c r="AD63" s="107">
        <v>-13.7</v>
      </c>
      <c r="AE63" s="142"/>
      <c r="AF63" s="18">
        <v>21.343771108462597</v>
      </c>
      <c r="AG63" s="142"/>
      <c r="AH63" s="107">
        <v>10.943771108462597</v>
      </c>
      <c r="AI63" s="107"/>
      <c r="AJ63" s="107">
        <v>10.4</v>
      </c>
      <c r="AK63" s="142"/>
      <c r="AL63" s="18">
        <v>19.899999999999999</v>
      </c>
      <c r="AM63" s="142"/>
      <c r="AN63" s="107">
        <v>10.099999999999998</v>
      </c>
      <c r="AO63" s="142"/>
      <c r="AP63" s="107">
        <v>9.8000000000000007</v>
      </c>
      <c r="AQ63" s="142"/>
      <c r="AR63" s="18">
        <v>20</v>
      </c>
      <c r="AS63" s="142"/>
      <c r="AT63" s="107">
        <v>10.200000000000003</v>
      </c>
      <c r="AU63" s="142"/>
      <c r="AV63" s="107">
        <v>9.7999999999999972</v>
      </c>
      <c r="AW63" s="142"/>
      <c r="AX63" s="18">
        <v>25.8</v>
      </c>
      <c r="AY63" s="142"/>
      <c r="AZ63" s="107">
        <v>10.599999999999998</v>
      </c>
      <c r="BA63" s="142"/>
      <c r="BB63" s="107">
        <v>15.200000000000003</v>
      </c>
      <c r="BC63" s="142"/>
      <c r="BD63" s="18">
        <v>7.0980416123736845</v>
      </c>
      <c r="BE63" s="142"/>
      <c r="BF63" s="107">
        <f>BD63-BH63</f>
        <v>7.0980416123736845</v>
      </c>
      <c r="BG63" s="142"/>
      <c r="BH63" s="107">
        <v>0</v>
      </c>
      <c r="BJ63" s="18"/>
      <c r="BK63" s="142"/>
      <c r="BL63" s="107"/>
      <c r="BM63" s="142"/>
      <c r="BN63" s="107"/>
      <c r="BR63" s="142"/>
    </row>
    <row r="64" spans="1:70" s="7" customFormat="1" ht="11.25" hidden="1" customHeight="1" outlineLevel="1" x14ac:dyDescent="0.2">
      <c r="A64" s="142" t="s">
        <v>48</v>
      </c>
      <c r="B64" s="18"/>
      <c r="C64" s="109"/>
      <c r="D64" s="107">
        <f t="shared" si="24"/>
        <v>0</v>
      </c>
      <c r="E64" s="107"/>
      <c r="F64" s="107"/>
      <c r="G64" s="107"/>
      <c r="H64" s="18">
        <v>0</v>
      </c>
      <c r="I64" s="109"/>
      <c r="J64" s="107">
        <f t="shared" si="25"/>
        <v>0</v>
      </c>
      <c r="K64" s="107"/>
      <c r="L64" s="107">
        <v>0</v>
      </c>
      <c r="M64" s="107"/>
      <c r="N64" s="18"/>
      <c r="O64" s="109"/>
      <c r="P64" s="107">
        <f t="shared" si="26"/>
        <v>0</v>
      </c>
      <c r="Q64" s="107"/>
      <c r="R64" s="107">
        <v>0</v>
      </c>
      <c r="S64" s="109"/>
      <c r="T64" s="18">
        <v>0</v>
      </c>
      <c r="U64" s="109"/>
      <c r="V64" s="107">
        <v>0</v>
      </c>
      <c r="W64" s="107"/>
      <c r="X64" s="107">
        <v>0</v>
      </c>
      <c r="Y64" s="109"/>
      <c r="Z64" s="18">
        <v>0</v>
      </c>
      <c r="AA64" s="109"/>
      <c r="AB64" s="107">
        <v>0</v>
      </c>
      <c r="AC64" s="107"/>
      <c r="AD64" s="107">
        <v>0</v>
      </c>
      <c r="AE64" s="109"/>
      <c r="AF64" s="18">
        <v>0</v>
      </c>
      <c r="AG64" s="109"/>
      <c r="AH64" s="107">
        <v>0</v>
      </c>
      <c r="AI64" s="107"/>
      <c r="AJ64" s="107">
        <v>0</v>
      </c>
      <c r="AK64" s="109"/>
      <c r="AL64" s="18">
        <v>0</v>
      </c>
      <c r="AM64" s="109"/>
      <c r="AN64" s="107">
        <v>0</v>
      </c>
      <c r="AO64" s="109"/>
      <c r="AP64" s="107">
        <v>0</v>
      </c>
      <c r="AQ64" s="142"/>
      <c r="AR64" s="18">
        <v>0</v>
      </c>
      <c r="AS64" s="142"/>
      <c r="AT64" s="107">
        <v>0</v>
      </c>
      <c r="AU64" s="109"/>
      <c r="AV64" s="107">
        <v>0</v>
      </c>
      <c r="AW64" s="142"/>
      <c r="AX64" s="18">
        <v>0</v>
      </c>
      <c r="AY64" s="142"/>
      <c r="AZ64" s="107">
        <v>0</v>
      </c>
      <c r="BA64" s="109"/>
      <c r="BB64" s="107">
        <v>0</v>
      </c>
      <c r="BC64" s="142"/>
      <c r="BD64" s="18">
        <v>0.44628549758540581</v>
      </c>
      <c r="BE64" s="142"/>
      <c r="BF64" s="107">
        <f>BD64-BH64</f>
        <v>0.44628549758540581</v>
      </c>
      <c r="BG64" s="142"/>
      <c r="BH64" s="107">
        <v>0</v>
      </c>
      <c r="BJ64" s="18"/>
      <c r="BK64" s="142"/>
      <c r="BL64" s="107"/>
      <c r="BM64" s="142"/>
      <c r="BN64" s="107"/>
      <c r="BR64" s="142"/>
    </row>
    <row r="65" spans="1:70" s="7" customFormat="1" ht="11.25" collapsed="1" x14ac:dyDescent="0.2">
      <c r="A65" s="150" t="s">
        <v>49</v>
      </c>
      <c r="B65" s="25"/>
      <c r="C65" s="108"/>
      <c r="D65" s="108">
        <f t="shared" si="24"/>
        <v>97.4</v>
      </c>
      <c r="E65" s="108"/>
      <c r="F65" s="108">
        <f t="array" ref="F65">SUM(ROUND(F62:F63,1))</f>
        <v>-97.4</v>
      </c>
      <c r="G65" s="108"/>
      <c r="H65" s="25">
        <v>-175.4</v>
      </c>
      <c r="I65" s="108"/>
      <c r="J65" s="108">
        <f t="shared" si="25"/>
        <v>-86.300000000000011</v>
      </c>
      <c r="K65" s="108"/>
      <c r="L65" s="108">
        <v>-89.118633359170602</v>
      </c>
      <c r="M65" s="108"/>
      <c r="N65" s="25">
        <v>-177.90929707235671</v>
      </c>
      <c r="O65" s="108"/>
      <c r="P65" s="108">
        <f t="shared" si="26"/>
        <v>-92</v>
      </c>
      <c r="Q65" s="108"/>
      <c r="R65" s="108">
        <v>-85.932941698227495</v>
      </c>
      <c r="S65" s="108"/>
      <c r="T65" s="25">
        <v>-163.80363367138401</v>
      </c>
      <c r="U65" s="108"/>
      <c r="V65" s="108">
        <v>-83.013931217792603</v>
      </c>
      <c r="W65" s="108"/>
      <c r="X65" s="108">
        <v>-80.789702453591389</v>
      </c>
      <c r="Y65" s="108"/>
      <c r="Z65" s="25">
        <v>-120.43885277859799</v>
      </c>
      <c r="AA65" s="108"/>
      <c r="AB65" s="108">
        <v>-68.3</v>
      </c>
      <c r="AC65" s="108"/>
      <c r="AD65" s="108">
        <v>-52.1012178894645</v>
      </c>
      <c r="AE65" s="108"/>
      <c r="AF65" s="25">
        <v>93.878237882389101</v>
      </c>
      <c r="AG65" s="108"/>
      <c r="AH65" s="108">
        <v>48.878237882389087</v>
      </c>
      <c r="AI65" s="108"/>
      <c r="AJ65" s="108">
        <v>45</v>
      </c>
      <c r="AK65" s="108"/>
      <c r="AL65" s="25">
        <v>90.4</v>
      </c>
      <c r="AM65" s="108"/>
      <c r="AN65" s="108">
        <v>44.399999999999991</v>
      </c>
      <c r="AO65" s="108"/>
      <c r="AP65" s="108">
        <v>46</v>
      </c>
      <c r="AQ65" s="108"/>
      <c r="AR65" s="25">
        <v>93.3</v>
      </c>
      <c r="AS65" s="108">
        <v>0</v>
      </c>
      <c r="AT65" s="108">
        <v>47.7</v>
      </c>
      <c r="AU65" s="108"/>
      <c r="AV65" s="108">
        <v>45.599999999999994</v>
      </c>
      <c r="AW65" s="108">
        <v>0</v>
      </c>
      <c r="AX65" s="25">
        <v>125.5</v>
      </c>
      <c r="AY65" s="108">
        <v>0</v>
      </c>
      <c r="AZ65" s="108">
        <v>57.499999999999986</v>
      </c>
      <c r="BA65" s="108">
        <v>0</v>
      </c>
      <c r="BB65" s="108">
        <f>SUM(BB62:BB64)</f>
        <v>68.000000000000014</v>
      </c>
      <c r="BC65" s="108">
        <v>0</v>
      </c>
      <c r="BD65" s="25">
        <f>SUM(BD62:BD64)</f>
        <v>29.98009944130559</v>
      </c>
      <c r="BE65" s="108">
        <v>0</v>
      </c>
      <c r="BF65" s="108">
        <f>SUM(BF62:BF64)</f>
        <v>29.98009944130559</v>
      </c>
      <c r="BG65" s="108">
        <v>0</v>
      </c>
      <c r="BH65" s="108">
        <f>SUM(BH62:BH64)</f>
        <v>0</v>
      </c>
      <c r="BJ65" s="25"/>
      <c r="BK65" s="108"/>
      <c r="BL65" s="108"/>
      <c r="BM65" s="108"/>
      <c r="BN65" s="108"/>
      <c r="BR65" s="142"/>
    </row>
    <row r="66" spans="1:70" s="7" customFormat="1" ht="11.25" x14ac:dyDescent="0.2">
      <c r="A66" s="150"/>
      <c r="B66" s="18"/>
      <c r="C66" s="107"/>
      <c r="D66" s="107"/>
      <c r="E66" s="107"/>
      <c r="F66" s="107"/>
      <c r="G66" s="107"/>
      <c r="H66" s="18"/>
      <c r="I66" s="107"/>
      <c r="J66" s="107"/>
      <c r="K66" s="107"/>
      <c r="L66" s="107"/>
      <c r="M66" s="107"/>
      <c r="N66" s="18"/>
      <c r="O66" s="107"/>
      <c r="P66" s="107"/>
      <c r="Q66" s="107"/>
      <c r="R66" s="107"/>
      <c r="S66" s="107"/>
      <c r="T66" s="18"/>
      <c r="U66" s="107"/>
      <c r="V66" s="107"/>
      <c r="W66" s="107"/>
      <c r="X66" s="107"/>
      <c r="Y66" s="107"/>
      <c r="Z66" s="18"/>
      <c r="AA66" s="107"/>
      <c r="AB66" s="107"/>
      <c r="AC66" s="107"/>
      <c r="AD66" s="107"/>
      <c r="AE66" s="107"/>
      <c r="AF66" s="18"/>
      <c r="AG66" s="107"/>
      <c r="AH66" s="107"/>
      <c r="AI66" s="107"/>
      <c r="AJ66" s="107"/>
      <c r="AK66" s="107"/>
      <c r="AL66" s="18"/>
      <c r="AM66" s="107"/>
      <c r="AN66" s="107"/>
      <c r="AO66" s="107"/>
      <c r="AP66" s="107"/>
      <c r="AQ66" s="107"/>
      <c r="AR66" s="18"/>
      <c r="AS66" s="107"/>
      <c r="AT66" s="107"/>
      <c r="AU66" s="107"/>
      <c r="AV66" s="107"/>
      <c r="AW66" s="107"/>
      <c r="AX66" s="18"/>
      <c r="AY66" s="107"/>
      <c r="AZ66" s="107"/>
      <c r="BA66" s="107"/>
      <c r="BB66" s="107"/>
      <c r="BC66" s="107"/>
      <c r="BD66" s="18"/>
      <c r="BE66" s="107"/>
      <c r="BF66" s="107"/>
      <c r="BG66" s="107"/>
      <c r="BH66" s="107"/>
      <c r="BJ66" s="18"/>
      <c r="BK66" s="107"/>
      <c r="BL66" s="107"/>
      <c r="BM66" s="107"/>
      <c r="BN66" s="107"/>
      <c r="BR66" s="142"/>
    </row>
    <row r="67" spans="1:70" s="7" customFormat="1" ht="11.25" x14ac:dyDescent="0.2">
      <c r="A67" s="150" t="s">
        <v>28</v>
      </c>
      <c r="B67" s="18"/>
      <c r="C67" s="107"/>
      <c r="D67" s="107">
        <f>ROUND(B67,1)-ROUND(F67,1)</f>
        <v>0.6</v>
      </c>
      <c r="E67" s="107"/>
      <c r="F67" s="107">
        <v>-0.61973459999999503</v>
      </c>
      <c r="G67" s="107"/>
      <c r="H67" s="18">
        <v>-1.7</v>
      </c>
      <c r="I67" s="107"/>
      <c r="J67" s="107">
        <f>ROUND(H67,1)-ROUND(L67,1)</f>
        <v>-0.79999999999999993</v>
      </c>
      <c r="K67" s="107"/>
      <c r="L67" s="107">
        <v>-0.93926097999999503</v>
      </c>
      <c r="M67" s="107"/>
      <c r="N67" s="18">
        <v>-2.64926660000001</v>
      </c>
      <c r="O67" s="107"/>
      <c r="P67" s="107">
        <f>ROUND(N67,1)-ROUND(R67,1)</f>
        <v>-1.3</v>
      </c>
      <c r="Q67" s="107"/>
      <c r="R67" s="107">
        <v>-1.34662272999999</v>
      </c>
      <c r="S67" s="107"/>
      <c r="T67" s="18">
        <v>-2.8709573999999902</v>
      </c>
      <c r="U67" s="107"/>
      <c r="V67" s="107">
        <v>-1.6403348699999902</v>
      </c>
      <c r="W67" s="107"/>
      <c r="X67" s="107">
        <v>-1.3306225300000001</v>
      </c>
      <c r="Y67" s="107"/>
      <c r="Z67" s="18">
        <v>-1.93645431</v>
      </c>
      <c r="AA67" s="107"/>
      <c r="AB67" s="107">
        <v>-1.020375409999996</v>
      </c>
      <c r="AC67" s="107"/>
      <c r="AD67" s="107">
        <v>-0.91607890000000403</v>
      </c>
      <c r="AE67" s="107"/>
      <c r="AF67" s="18">
        <v>1.8340178</v>
      </c>
      <c r="AG67" s="107"/>
      <c r="AH67" s="107">
        <v>1.0340178</v>
      </c>
      <c r="AI67" s="107"/>
      <c r="AJ67" s="107">
        <v>0.8</v>
      </c>
      <c r="AK67" s="107"/>
      <c r="AL67" s="18">
        <v>1.2</v>
      </c>
      <c r="AM67" s="107"/>
      <c r="AN67" s="107">
        <v>0.5</v>
      </c>
      <c r="AO67" s="107"/>
      <c r="AP67" s="107">
        <v>0.7</v>
      </c>
      <c r="AQ67" s="142"/>
      <c r="AR67" s="18">
        <v>2.2000000000000002</v>
      </c>
      <c r="AS67" s="142"/>
      <c r="AT67" s="107">
        <v>1.1000000000000005</v>
      </c>
      <c r="AU67" s="107"/>
      <c r="AV67" s="107">
        <v>1.0999999999999996</v>
      </c>
      <c r="AW67" s="107"/>
      <c r="AX67" s="18">
        <v>2.2000000000000002</v>
      </c>
      <c r="AY67" s="107"/>
      <c r="AZ67" s="107">
        <v>1.0000000000000002</v>
      </c>
      <c r="BA67" s="107"/>
      <c r="BB67" s="107">
        <v>1.2</v>
      </c>
      <c r="BC67" s="107"/>
      <c r="BD67" s="18">
        <f>0.800000000000011+1.6</f>
        <v>2.400000000000011</v>
      </c>
      <c r="BE67" s="107"/>
      <c r="BF67" s="107">
        <f>BD67-BH67</f>
        <v>1.3000000000000096</v>
      </c>
      <c r="BG67" s="142"/>
      <c r="BH67" s="107">
        <v>1.1000000000000014</v>
      </c>
      <c r="BJ67" s="18"/>
      <c r="BK67" s="142"/>
      <c r="BL67" s="107"/>
      <c r="BM67" s="142"/>
      <c r="BN67" s="107"/>
      <c r="BR67" s="142"/>
    </row>
    <row r="68" spans="1:70" s="7" customFormat="1" ht="11.25" x14ac:dyDescent="0.2">
      <c r="A68" s="150"/>
      <c r="B68" s="19"/>
      <c r="C68" s="109"/>
      <c r="D68" s="109"/>
      <c r="E68" s="109"/>
      <c r="F68" s="109"/>
      <c r="G68" s="109"/>
      <c r="H68" s="19"/>
      <c r="I68" s="109"/>
      <c r="J68" s="109"/>
      <c r="K68" s="109"/>
      <c r="L68" s="109"/>
      <c r="M68" s="109"/>
      <c r="N68" s="19"/>
      <c r="O68" s="109"/>
      <c r="P68" s="109"/>
      <c r="Q68" s="109"/>
      <c r="R68" s="109"/>
      <c r="S68" s="109"/>
      <c r="T68" s="19"/>
      <c r="U68" s="109"/>
      <c r="V68" s="109"/>
      <c r="W68" s="109"/>
      <c r="X68" s="109"/>
      <c r="Y68" s="109"/>
      <c r="Z68" s="19"/>
      <c r="AA68" s="109"/>
      <c r="AB68" s="109"/>
      <c r="AC68" s="109"/>
      <c r="AD68" s="109"/>
      <c r="AE68" s="109"/>
      <c r="AF68" s="19"/>
      <c r="AG68" s="109"/>
      <c r="AH68" s="109"/>
      <c r="AI68" s="109"/>
      <c r="AJ68" s="109"/>
      <c r="AK68" s="109"/>
      <c r="AL68" s="19"/>
      <c r="AM68" s="109"/>
      <c r="AN68" s="109"/>
      <c r="AO68" s="109"/>
      <c r="AP68" s="109"/>
      <c r="AQ68" s="142"/>
      <c r="AR68" s="19"/>
      <c r="AS68" s="142"/>
      <c r="AT68" s="109"/>
      <c r="AU68" s="109"/>
      <c r="AV68" s="109"/>
      <c r="AW68" s="142"/>
      <c r="AX68" s="19"/>
      <c r="AY68" s="142"/>
      <c r="AZ68" s="109"/>
      <c r="BA68" s="109"/>
      <c r="BB68" s="109"/>
      <c r="BC68" s="142"/>
      <c r="BD68" s="19"/>
      <c r="BE68" s="142"/>
      <c r="BF68" s="109"/>
      <c r="BG68" s="142"/>
      <c r="BH68" s="109"/>
      <c r="BJ68" s="19"/>
      <c r="BK68" s="142"/>
      <c r="BL68" s="109"/>
      <c r="BM68" s="142"/>
      <c r="BN68" s="109"/>
      <c r="BR68" s="142"/>
    </row>
    <row r="69" spans="1:70" s="20" customFormat="1" ht="11.25" x14ac:dyDescent="0.2">
      <c r="A69" s="164" t="s">
        <v>60</v>
      </c>
      <c r="B69" s="167"/>
      <c r="C69" s="166"/>
      <c r="D69" s="166">
        <f>ROUND(B69,1)-ROUND(F69,1)</f>
        <v>130.5</v>
      </c>
      <c r="E69" s="166"/>
      <c r="F69" s="166">
        <f>F60+F65+F67</f>
        <v>-130.51973459999999</v>
      </c>
      <c r="G69" s="166"/>
      <c r="H69" s="167">
        <v>-244.5</v>
      </c>
      <c r="I69" s="166"/>
      <c r="J69" s="166">
        <f>ROUND(H69,1)-ROUND(L69,1)</f>
        <v>-119.2</v>
      </c>
      <c r="K69" s="166"/>
      <c r="L69" s="166">
        <v>-125.3297419713695</v>
      </c>
      <c r="M69" s="166"/>
      <c r="N69" s="167">
        <v>-249.06505992150272</v>
      </c>
      <c r="O69" s="166"/>
      <c r="P69" s="166">
        <f>ROUND(N69,1)-ROUND(R69,1)</f>
        <v>-127.39999999999999</v>
      </c>
      <c r="Q69" s="166"/>
      <c r="R69" s="166">
        <v>-121.7159426281509</v>
      </c>
      <c r="S69" s="166"/>
      <c r="T69" s="167">
        <v>-223.33620716029148</v>
      </c>
      <c r="U69" s="166"/>
      <c r="V69" s="166">
        <v>-113.80286398527309</v>
      </c>
      <c r="W69" s="166"/>
      <c r="X69" s="166">
        <v>-109.53334317501839</v>
      </c>
      <c r="Y69" s="166"/>
      <c r="Z69" s="167">
        <v>-183.65699842738829</v>
      </c>
      <c r="AA69" s="166"/>
      <c r="AB69" s="166">
        <v>-101.2</v>
      </c>
      <c r="AC69" s="166"/>
      <c r="AD69" s="166">
        <v>-82.513543800128204</v>
      </c>
      <c r="AE69" s="166"/>
      <c r="AF69" s="167">
        <v>155.77204481496591</v>
      </c>
      <c r="AG69" s="166"/>
      <c r="AH69" s="166">
        <v>79.372044814965889</v>
      </c>
      <c r="AI69" s="166"/>
      <c r="AJ69" s="166">
        <v>76.400000000000006</v>
      </c>
      <c r="AK69" s="166"/>
      <c r="AL69" s="167">
        <v>148.19999999999999</v>
      </c>
      <c r="AM69" s="166"/>
      <c r="AN69" s="166">
        <v>73.499999999999986</v>
      </c>
      <c r="AO69" s="166"/>
      <c r="AP69" s="166">
        <v>74.7</v>
      </c>
      <c r="AQ69" s="166"/>
      <c r="AR69" s="167">
        <v>139</v>
      </c>
      <c r="AS69" s="166"/>
      <c r="AT69" s="166">
        <v>72.5</v>
      </c>
      <c r="AU69" s="166"/>
      <c r="AV69" s="166">
        <v>66.5</v>
      </c>
      <c r="AW69" s="166"/>
      <c r="AX69" s="167">
        <v>167.3</v>
      </c>
      <c r="AY69" s="166"/>
      <c r="AZ69" s="166">
        <v>79.199999999999989</v>
      </c>
      <c r="BA69" s="166"/>
      <c r="BB69" s="166">
        <f>SUM(BB67,BB65,BB60)</f>
        <v>88.100000000000023</v>
      </c>
      <c r="BC69" s="166"/>
      <c r="BD69" s="167">
        <f>SUM(BD67,BD65,BD60)</f>
        <v>70.28009944130558</v>
      </c>
      <c r="BE69" s="166"/>
      <c r="BF69" s="166">
        <f>SUM(BF67,BF65,BF60)</f>
        <v>51.280099441305573</v>
      </c>
      <c r="BG69" s="166"/>
      <c r="BH69" s="166">
        <f>SUM(BH67,BH65,BH60)</f>
        <v>19.000000000000007</v>
      </c>
      <c r="BJ69" s="167"/>
      <c r="BK69" s="166"/>
      <c r="BL69" s="166"/>
      <c r="BM69" s="166"/>
      <c r="BN69" s="166"/>
      <c r="BR69" s="150"/>
    </row>
    <row r="70" spans="1:70" s="7" customFormat="1" ht="11.25" x14ac:dyDescent="0.2">
      <c r="A70" s="142"/>
      <c r="B70" s="27"/>
      <c r="C70" s="107"/>
      <c r="D70" s="107"/>
      <c r="E70" s="107"/>
      <c r="F70" s="107"/>
      <c r="G70" s="107"/>
      <c r="H70" s="27"/>
      <c r="I70" s="107"/>
      <c r="J70" s="107"/>
      <c r="K70" s="107"/>
      <c r="L70" s="107"/>
      <c r="M70" s="107"/>
      <c r="N70" s="27"/>
      <c r="O70" s="107"/>
      <c r="P70" s="107"/>
      <c r="Q70" s="107"/>
      <c r="R70" s="107"/>
      <c r="S70" s="107"/>
      <c r="T70" s="27"/>
      <c r="U70" s="107"/>
      <c r="V70" s="107"/>
      <c r="W70" s="107"/>
      <c r="X70" s="107"/>
      <c r="Y70" s="107"/>
      <c r="Z70" s="27"/>
      <c r="AA70" s="107"/>
      <c r="AB70" s="107"/>
      <c r="AC70" s="107"/>
      <c r="AD70" s="107"/>
      <c r="AE70" s="107"/>
      <c r="AF70" s="27"/>
      <c r="AG70" s="107"/>
      <c r="AH70" s="107"/>
      <c r="AI70" s="107"/>
      <c r="AJ70" s="107"/>
      <c r="AK70" s="107"/>
      <c r="AL70" s="27"/>
      <c r="AM70" s="107"/>
      <c r="AN70" s="107"/>
      <c r="AO70" s="107"/>
      <c r="AP70" s="107"/>
      <c r="AQ70" s="107"/>
      <c r="AR70" s="27"/>
      <c r="AS70" s="107"/>
      <c r="AT70" s="107"/>
      <c r="AU70" s="107"/>
      <c r="AV70" s="107"/>
      <c r="AW70" s="107"/>
      <c r="AX70" s="27"/>
      <c r="AY70" s="107"/>
      <c r="AZ70" s="107"/>
      <c r="BA70" s="107"/>
      <c r="BB70" s="107"/>
      <c r="BC70" s="107"/>
      <c r="BD70" s="27"/>
      <c r="BE70" s="107"/>
      <c r="BF70" s="107"/>
      <c r="BG70" s="107"/>
      <c r="BH70" s="107"/>
      <c r="BJ70" s="27"/>
      <c r="BK70" s="107"/>
      <c r="BL70" s="107"/>
      <c r="BM70" s="107"/>
      <c r="BN70" s="107"/>
      <c r="BR70" s="142"/>
    </row>
    <row r="71" spans="1:70" s="7" customFormat="1" ht="11.25" x14ac:dyDescent="0.2">
      <c r="A71" s="149" t="s">
        <v>3053</v>
      </c>
      <c r="B71" s="18"/>
      <c r="C71" s="107"/>
      <c r="D71" s="107"/>
      <c r="E71" s="107"/>
      <c r="F71" s="107"/>
      <c r="G71" s="107"/>
      <c r="H71" s="18"/>
      <c r="I71" s="107"/>
      <c r="J71" s="107"/>
      <c r="K71" s="107"/>
      <c r="L71" s="107"/>
      <c r="M71" s="107"/>
      <c r="N71" s="18"/>
      <c r="O71" s="107"/>
      <c r="P71" s="107"/>
      <c r="Q71" s="107"/>
      <c r="R71" s="107"/>
      <c r="S71" s="107"/>
      <c r="T71" s="18"/>
      <c r="U71" s="107"/>
      <c r="V71" s="107"/>
      <c r="W71" s="107"/>
      <c r="X71" s="107"/>
      <c r="Y71" s="107"/>
      <c r="Z71" s="18"/>
      <c r="AA71" s="107"/>
      <c r="AB71" s="107"/>
      <c r="AC71" s="107"/>
      <c r="AD71" s="107"/>
      <c r="AE71" s="107"/>
      <c r="AF71" s="18"/>
      <c r="AG71" s="107"/>
      <c r="AH71" s="107"/>
      <c r="AI71" s="107"/>
      <c r="AJ71" s="107"/>
      <c r="AK71" s="107"/>
      <c r="AL71" s="18"/>
      <c r="AM71" s="107"/>
      <c r="AN71" s="107"/>
      <c r="AO71" s="107"/>
      <c r="AP71" s="107"/>
      <c r="AQ71" s="142"/>
      <c r="AR71" s="18"/>
      <c r="AS71" s="142"/>
      <c r="AT71" s="107"/>
      <c r="AU71" s="107"/>
      <c r="AV71" s="107"/>
      <c r="AW71" s="142"/>
      <c r="AX71" s="18"/>
      <c r="AY71" s="142"/>
      <c r="AZ71" s="107"/>
      <c r="BA71" s="107"/>
      <c r="BB71" s="107"/>
      <c r="BC71" s="142"/>
      <c r="BD71" s="18"/>
      <c r="BE71" s="142"/>
      <c r="BF71" s="107"/>
      <c r="BG71" s="142"/>
      <c r="BH71" s="107"/>
      <c r="BJ71" s="18"/>
      <c r="BK71" s="142"/>
      <c r="BL71" s="107"/>
      <c r="BM71" s="142"/>
      <c r="BN71" s="107"/>
      <c r="BR71" s="142"/>
    </row>
    <row r="72" spans="1:70" s="7" customFormat="1" ht="11.25" x14ac:dyDescent="0.2">
      <c r="A72" s="142" t="s">
        <v>43</v>
      </c>
      <c r="B72" s="18"/>
      <c r="C72" s="107"/>
      <c r="D72" s="107">
        <f t="shared" ref="D72:D75" si="27">ROUND(B72,1)-ROUND(F72,1)</f>
        <v>-15.6</v>
      </c>
      <c r="E72" s="107"/>
      <c r="F72" s="107">
        <v>15.600000000000001</v>
      </c>
      <c r="G72" s="107"/>
      <c r="H72" s="18">
        <v>44.3</v>
      </c>
      <c r="I72" s="107"/>
      <c r="J72" s="107">
        <f t="shared" ref="J72:J75" si="28">ROUND(H72,1)-ROUND(L72,1)</f>
        <v>29.799999999999997</v>
      </c>
      <c r="K72" s="107"/>
      <c r="L72" s="107">
        <v>14.5</v>
      </c>
      <c r="M72" s="107"/>
      <c r="N72" s="18">
        <v>50.300000000000004</v>
      </c>
      <c r="O72" s="107"/>
      <c r="P72" s="107">
        <f t="shared" ref="P72:P75" si="29">ROUND(N72,1)-ROUND(R72,1)</f>
        <v>31.299999999999997</v>
      </c>
      <c r="Q72" s="107"/>
      <c r="R72" s="107">
        <v>19.043283109999994</v>
      </c>
      <c r="S72" s="107"/>
      <c r="T72" s="18">
        <v>103.72479027000001</v>
      </c>
      <c r="U72" s="107"/>
      <c r="V72" s="107">
        <v>71.449674010000024</v>
      </c>
      <c r="W72" s="107"/>
      <c r="X72" s="107">
        <v>32.275116259999997</v>
      </c>
      <c r="Y72" s="107"/>
      <c r="Z72" s="18">
        <v>95</v>
      </c>
      <c r="AA72" s="107"/>
      <c r="AB72" s="107">
        <v>70.2</v>
      </c>
      <c r="AC72" s="107"/>
      <c r="AD72" s="107">
        <v>24.8</v>
      </c>
      <c r="AE72" s="107"/>
      <c r="AF72" s="18">
        <v>92.254771259999998</v>
      </c>
      <c r="AG72" s="107"/>
      <c r="AH72" s="107">
        <v>90.054771259999995</v>
      </c>
      <c r="AI72" s="107"/>
      <c r="AJ72" s="107">
        <v>2.2000000000000002</v>
      </c>
      <c r="AK72" s="107"/>
      <c r="AL72" s="18">
        <v>128.80000000000001</v>
      </c>
      <c r="AM72" s="107"/>
      <c r="AN72" s="107">
        <v>80.100000000000009</v>
      </c>
      <c r="AO72" s="107"/>
      <c r="AP72" s="107">
        <v>48.7</v>
      </c>
      <c r="AQ72" s="142"/>
      <c r="AR72" s="18">
        <v>112.4</v>
      </c>
      <c r="AS72" s="142"/>
      <c r="AT72" s="107">
        <v>60.900000000000006</v>
      </c>
      <c r="AU72" s="107"/>
      <c r="AV72" s="107">
        <v>51.5</v>
      </c>
      <c r="AW72" s="142"/>
      <c r="AX72" s="18">
        <v>94</v>
      </c>
      <c r="AY72" s="142"/>
      <c r="AZ72" s="107">
        <v>51.3</v>
      </c>
      <c r="BA72" s="107"/>
      <c r="BB72" s="107">
        <v>42.7</v>
      </c>
      <c r="BC72" s="142"/>
      <c r="BD72" s="18">
        <f>268.1-6-4</f>
        <v>258.10000000000002</v>
      </c>
      <c r="BE72" s="142"/>
      <c r="BF72" s="107">
        <f>BD72-BH72</f>
        <v>169.20000000000002</v>
      </c>
      <c r="BG72" s="142"/>
      <c r="BH72" s="107">
        <v>88.9</v>
      </c>
      <c r="BI72" s="7" t="e">
        <v>#REF!</v>
      </c>
      <c r="BJ72" s="18"/>
      <c r="BK72" s="142"/>
      <c r="BL72" s="107"/>
      <c r="BM72" s="142"/>
      <c r="BN72" s="107"/>
      <c r="BR72" s="142"/>
    </row>
    <row r="73" spans="1:70" s="7" customFormat="1" ht="11.25" x14ac:dyDescent="0.2">
      <c r="A73" s="142" t="s">
        <v>150</v>
      </c>
      <c r="B73" s="18"/>
      <c r="C73" s="107"/>
      <c r="D73" s="107">
        <f t="shared" si="27"/>
        <v>-11.6</v>
      </c>
      <c r="E73" s="107"/>
      <c r="F73" s="107">
        <v>11.600000000000001</v>
      </c>
      <c r="G73" s="107"/>
      <c r="H73" s="18">
        <v>57.8</v>
      </c>
      <c r="I73" s="107"/>
      <c r="J73" s="107">
        <f t="shared" si="28"/>
        <v>14.5</v>
      </c>
      <c r="K73" s="107"/>
      <c r="L73" s="107">
        <v>43.3</v>
      </c>
      <c r="M73" s="107"/>
      <c r="N73" s="18">
        <v>174.89999999999998</v>
      </c>
      <c r="O73" s="107"/>
      <c r="P73" s="107">
        <f t="shared" si="29"/>
        <v>100.30000000000001</v>
      </c>
      <c r="Q73" s="107"/>
      <c r="R73" s="107">
        <v>74.628795739094201</v>
      </c>
      <c r="S73" s="107"/>
      <c r="T73" s="18">
        <v>79.622859389043498</v>
      </c>
      <c r="U73" s="107"/>
      <c r="V73" s="107">
        <v>41.7218719100714</v>
      </c>
      <c r="W73" s="107"/>
      <c r="X73" s="107">
        <v>37.900987478972098</v>
      </c>
      <c r="Y73" s="107"/>
      <c r="Z73" s="18">
        <v>70.330966534271496</v>
      </c>
      <c r="AA73" s="107"/>
      <c r="AB73" s="107">
        <v>45.082382049894697</v>
      </c>
      <c r="AC73" s="107"/>
      <c r="AD73" s="107">
        <v>25.248584484376799</v>
      </c>
      <c r="AE73" s="107"/>
      <c r="AF73" s="18">
        <v>175.34892246947419</v>
      </c>
      <c r="AG73" s="107"/>
      <c r="AH73" s="107">
        <v>112.24892246947419</v>
      </c>
      <c r="AI73" s="107"/>
      <c r="AJ73" s="107">
        <v>63.1</v>
      </c>
      <c r="AK73" s="107"/>
      <c r="AL73" s="18">
        <v>323.89999999999998</v>
      </c>
      <c r="AM73" s="107"/>
      <c r="AN73" s="107">
        <v>214.49999999999997</v>
      </c>
      <c r="AO73" s="107"/>
      <c r="AP73" s="107">
        <v>109.4</v>
      </c>
      <c r="AQ73" s="142"/>
      <c r="AR73" s="18">
        <v>222.6</v>
      </c>
      <c r="AS73" s="142"/>
      <c r="AT73" s="107">
        <v>148.80000000000001</v>
      </c>
      <c r="AU73" s="107"/>
      <c r="AV73" s="107">
        <v>73.8</v>
      </c>
      <c r="AW73" s="142"/>
      <c r="AX73" s="18">
        <v>183.3</v>
      </c>
      <c r="AY73" s="142"/>
      <c r="AZ73" s="107">
        <v>87.800000000000011</v>
      </c>
      <c r="BA73" s="107"/>
      <c r="BB73" s="107">
        <v>95.5</v>
      </c>
      <c r="BC73" s="142"/>
      <c r="BD73" s="18">
        <f>696.4-13.8-20.3</f>
        <v>662.30000000000007</v>
      </c>
      <c r="BE73" s="142"/>
      <c r="BF73" s="107">
        <f>BD73-BH73</f>
        <v>422.30000000000007</v>
      </c>
      <c r="BG73" s="142"/>
      <c r="BH73" s="107">
        <v>240</v>
      </c>
      <c r="BI73" s="13"/>
      <c r="BJ73" s="18"/>
      <c r="BK73" s="142"/>
      <c r="BL73" s="107"/>
      <c r="BM73" s="142"/>
      <c r="BN73" s="107"/>
      <c r="BR73" s="142"/>
    </row>
    <row r="74" spans="1:70" s="7" customFormat="1" ht="11.25" x14ac:dyDescent="0.2">
      <c r="A74" s="142" t="s">
        <v>3034</v>
      </c>
      <c r="B74" s="18"/>
      <c r="C74" s="107"/>
      <c r="D74" s="107">
        <f t="shared" si="27"/>
        <v>0.8</v>
      </c>
      <c r="E74" s="107"/>
      <c r="F74" s="107">
        <v>-0.8</v>
      </c>
      <c r="G74" s="107"/>
      <c r="H74" s="18">
        <v>2.1</v>
      </c>
      <c r="I74" s="107"/>
      <c r="J74" s="107">
        <f t="shared" si="28"/>
        <v>5.5</v>
      </c>
      <c r="K74" s="107"/>
      <c r="L74" s="107">
        <v>-3.4</v>
      </c>
      <c r="M74" s="107"/>
      <c r="N74" s="18">
        <v>-1.1000000000000001</v>
      </c>
      <c r="O74" s="107"/>
      <c r="P74" s="107">
        <f t="shared" si="29"/>
        <v>33.5</v>
      </c>
      <c r="Q74" s="107"/>
      <c r="R74" s="107">
        <v>-34.6124352</v>
      </c>
      <c r="S74" s="107"/>
      <c r="T74" s="18">
        <v>6.9608569999992806E-2</v>
      </c>
      <c r="U74" s="107"/>
      <c r="V74" s="107">
        <v>20.480278039999991</v>
      </c>
      <c r="W74" s="107"/>
      <c r="X74" s="107">
        <v>-20.410669469999998</v>
      </c>
      <c r="Y74" s="107"/>
      <c r="Z74" s="18">
        <v>3.03235403</v>
      </c>
      <c r="AA74" s="107"/>
      <c r="AB74" s="107">
        <v>4.1332066200000002</v>
      </c>
      <c r="AC74" s="107"/>
      <c r="AD74" s="107">
        <v>-1.1008525900000001</v>
      </c>
      <c r="AE74" s="107"/>
      <c r="AF74" s="18">
        <v>3.2912812900000201</v>
      </c>
      <c r="AG74" s="107"/>
      <c r="AH74" s="107">
        <v>7.6912812900000205</v>
      </c>
      <c r="AI74" s="107"/>
      <c r="AJ74" s="107">
        <v>-4.4000000000000004</v>
      </c>
      <c r="AK74" s="107"/>
      <c r="AL74" s="18">
        <v>-3.7</v>
      </c>
      <c r="AM74" s="107"/>
      <c r="AN74" s="107">
        <v>15.8</v>
      </c>
      <c r="AO74" s="107"/>
      <c r="AP74" s="107">
        <v>-19.5</v>
      </c>
      <c r="AQ74" s="142"/>
      <c r="AR74" s="18">
        <v>-0.6</v>
      </c>
      <c r="AS74" s="142"/>
      <c r="AT74" s="107">
        <v>17.799999999999997</v>
      </c>
      <c r="AU74" s="107"/>
      <c r="AV74" s="107">
        <v>-18.399999999999999</v>
      </c>
      <c r="AW74" s="142"/>
      <c r="AX74" s="18">
        <v>24.3</v>
      </c>
      <c r="AY74" s="142"/>
      <c r="AZ74" s="107">
        <v>6.1000000000000014</v>
      </c>
      <c r="BA74" s="107"/>
      <c r="BB74" s="107">
        <f>6.6+11.6</f>
        <v>18.2</v>
      </c>
      <c r="BC74" s="142"/>
      <c r="BD74" s="18">
        <v>-10.199999999999999</v>
      </c>
      <c r="BE74" s="142"/>
      <c r="BF74" s="107">
        <f>BD74-BH74</f>
        <v>49.3</v>
      </c>
      <c r="BG74" s="142"/>
      <c r="BH74" s="107">
        <v>-59.5</v>
      </c>
      <c r="BJ74" s="18"/>
      <c r="BK74" s="142"/>
      <c r="BL74" s="107"/>
      <c r="BM74" s="142"/>
      <c r="BN74" s="107"/>
      <c r="BR74" s="142"/>
    </row>
    <row r="75" spans="1:70" s="7" customFormat="1" ht="11.25" x14ac:dyDescent="0.2">
      <c r="A75" s="150" t="s">
        <v>13</v>
      </c>
      <c r="B75" s="25"/>
      <c r="C75" s="108"/>
      <c r="D75" s="108">
        <f t="shared" si="27"/>
        <v>-26.4</v>
      </c>
      <c r="E75" s="108"/>
      <c r="F75" s="108">
        <v>26.4</v>
      </c>
      <c r="G75" s="108"/>
      <c r="H75" s="25">
        <v>104.19999999999999</v>
      </c>
      <c r="I75" s="108"/>
      <c r="J75" s="108">
        <f t="shared" si="28"/>
        <v>49.800000000000004</v>
      </c>
      <c r="K75" s="108"/>
      <c r="L75" s="108">
        <v>54.4</v>
      </c>
      <c r="M75" s="108"/>
      <c r="N75" s="25">
        <v>224.1</v>
      </c>
      <c r="O75" s="108"/>
      <c r="P75" s="108">
        <f t="shared" si="29"/>
        <v>165.1</v>
      </c>
      <c r="Q75" s="108"/>
      <c r="R75" s="108">
        <v>58.95964364909419</v>
      </c>
      <c r="S75" s="108"/>
      <c r="T75" s="25">
        <v>183.41725822904348</v>
      </c>
      <c r="U75" s="108"/>
      <c r="V75" s="108">
        <v>133.55182396007143</v>
      </c>
      <c r="W75" s="108"/>
      <c r="X75" s="108">
        <v>49.765434268972101</v>
      </c>
      <c r="Y75" s="108"/>
      <c r="Z75" s="25">
        <v>168.3</v>
      </c>
      <c r="AA75" s="108"/>
      <c r="AB75" s="108">
        <v>119.4</v>
      </c>
      <c r="AC75" s="108"/>
      <c r="AD75" s="108">
        <v>48.9</v>
      </c>
      <c r="AE75" s="108"/>
      <c r="AF75" s="25">
        <v>270.8949750194742</v>
      </c>
      <c r="AG75" s="108"/>
      <c r="AH75" s="108">
        <v>209.99497501947423</v>
      </c>
      <c r="AI75" s="108"/>
      <c r="AJ75" s="108">
        <v>60.9</v>
      </c>
      <c r="AK75" s="108"/>
      <c r="AL75" s="25">
        <v>449</v>
      </c>
      <c r="AM75" s="108"/>
      <c r="AN75" s="108">
        <v>310.39999999999998</v>
      </c>
      <c r="AO75" s="108"/>
      <c r="AP75" s="108">
        <v>138.60000000000002</v>
      </c>
      <c r="AQ75" s="108"/>
      <c r="AR75" s="25">
        <v>334.4</v>
      </c>
      <c r="AS75" s="108"/>
      <c r="AT75" s="108">
        <v>227.5</v>
      </c>
      <c r="AU75" s="108"/>
      <c r="AV75" s="108">
        <v>106.9</v>
      </c>
      <c r="AW75" s="108"/>
      <c r="AX75" s="25">
        <v>301.60000000000002</v>
      </c>
      <c r="AY75" s="108"/>
      <c r="AZ75" s="108">
        <v>145.20000000000002</v>
      </c>
      <c r="BA75" s="108"/>
      <c r="BB75" s="108">
        <f>SUM(BB72:BB74)</f>
        <v>156.39999999999998</v>
      </c>
      <c r="BC75" s="108"/>
      <c r="BD75" s="25">
        <f>SUM(BD72:BD74)</f>
        <v>910.2</v>
      </c>
      <c r="BE75" s="108"/>
      <c r="BF75" s="108">
        <f>SUM(BF72:BF74)</f>
        <v>640.80000000000007</v>
      </c>
      <c r="BG75" s="108"/>
      <c r="BH75" s="108">
        <f>SUM(BH72:BH74)</f>
        <v>269.39999999999998</v>
      </c>
      <c r="BJ75" s="25"/>
      <c r="BK75" s="108"/>
      <c r="BL75" s="108"/>
      <c r="BM75" s="108"/>
      <c r="BN75" s="108"/>
      <c r="BR75" s="142"/>
    </row>
    <row r="76" spans="1:70" s="7" customFormat="1" ht="11.25" x14ac:dyDescent="0.2">
      <c r="A76" s="150"/>
      <c r="B76" s="18"/>
      <c r="C76" s="107"/>
      <c r="D76" s="107"/>
      <c r="E76" s="107"/>
      <c r="F76" s="107"/>
      <c r="G76" s="107"/>
      <c r="H76" s="18"/>
      <c r="I76" s="107"/>
      <c r="J76" s="107"/>
      <c r="K76" s="107"/>
      <c r="L76" s="107"/>
      <c r="M76" s="107"/>
      <c r="N76" s="18"/>
      <c r="O76" s="107"/>
      <c r="P76" s="107"/>
      <c r="Q76" s="107"/>
      <c r="R76" s="107"/>
      <c r="S76" s="107"/>
      <c r="T76" s="18"/>
      <c r="U76" s="107"/>
      <c r="V76" s="107"/>
      <c r="W76" s="107"/>
      <c r="X76" s="107"/>
      <c r="Y76" s="107"/>
      <c r="Z76" s="18"/>
      <c r="AA76" s="107"/>
      <c r="AB76" s="107"/>
      <c r="AC76" s="107"/>
      <c r="AD76" s="107"/>
      <c r="AE76" s="107"/>
      <c r="AF76" s="18"/>
      <c r="AG76" s="107"/>
      <c r="AH76" s="107"/>
      <c r="AI76" s="107"/>
      <c r="AJ76" s="107"/>
      <c r="AK76" s="107"/>
      <c r="AL76" s="18"/>
      <c r="AM76" s="107"/>
      <c r="AN76" s="107"/>
      <c r="AO76" s="107"/>
      <c r="AP76" s="107"/>
      <c r="AQ76" s="107"/>
      <c r="AR76" s="18"/>
      <c r="AS76" s="107"/>
      <c r="AT76" s="107"/>
      <c r="AU76" s="107"/>
      <c r="AV76" s="107"/>
      <c r="AW76" s="107"/>
      <c r="AX76" s="18"/>
      <c r="AY76" s="107"/>
      <c r="AZ76" s="107"/>
      <c r="BA76" s="107"/>
      <c r="BB76" s="107"/>
      <c r="BC76" s="107"/>
      <c r="BD76" s="18"/>
      <c r="BE76" s="107"/>
      <c r="BF76" s="107"/>
      <c r="BG76" s="107"/>
      <c r="BH76" s="107"/>
      <c r="BJ76" s="18"/>
      <c r="BK76" s="107"/>
      <c r="BL76" s="107"/>
      <c r="BM76" s="107"/>
      <c r="BN76" s="107"/>
      <c r="BR76" s="142"/>
    </row>
    <row r="77" spans="1:70" s="7" customFormat="1" ht="11.25" x14ac:dyDescent="0.2">
      <c r="A77" s="142" t="s">
        <v>46</v>
      </c>
      <c r="B77" s="18"/>
      <c r="C77" s="107"/>
      <c r="D77" s="107">
        <f t="shared" ref="D77:D80" si="30">ROUND(B77,1)-ROUND(F77,1)</f>
        <v>-134</v>
      </c>
      <c r="E77" s="107"/>
      <c r="F77" s="107">
        <v>134</v>
      </c>
      <c r="G77" s="107"/>
      <c r="H77" s="18">
        <v>159.6</v>
      </c>
      <c r="I77" s="107"/>
      <c r="J77" s="107">
        <f t="shared" ref="J77:J80" si="31">ROUND(H77,1)-ROUND(L77,1)</f>
        <v>95.399999999999991</v>
      </c>
      <c r="K77" s="107"/>
      <c r="L77" s="107">
        <v>64.2</v>
      </c>
      <c r="M77" s="107"/>
      <c r="N77" s="18">
        <v>181.7</v>
      </c>
      <c r="O77" s="107"/>
      <c r="P77" s="107">
        <f t="shared" ref="P77:P80" si="32">ROUND(N77,1)-ROUND(R77,1)</f>
        <v>106.29999999999998</v>
      </c>
      <c r="Q77" s="107"/>
      <c r="R77" s="107">
        <v>75.417195565461398</v>
      </c>
      <c r="S77" s="107"/>
      <c r="T77" s="18">
        <v>165.67496833516401</v>
      </c>
      <c r="U77" s="107"/>
      <c r="V77" s="107">
        <v>96.768473687603404</v>
      </c>
      <c r="W77" s="107"/>
      <c r="X77" s="107">
        <v>68.906494647560606</v>
      </c>
      <c r="Y77" s="107"/>
      <c r="Z77" s="18">
        <v>163.19999999999999</v>
      </c>
      <c r="AA77" s="107"/>
      <c r="AB77" s="107">
        <v>90.3</v>
      </c>
      <c r="AC77" s="107"/>
      <c r="AD77" s="107">
        <v>72.900000000000006</v>
      </c>
      <c r="AE77" s="107"/>
      <c r="AF77" s="18">
        <v>190.60924761160953</v>
      </c>
      <c r="AG77" s="107"/>
      <c r="AH77" s="107">
        <v>108.10924761160953</v>
      </c>
      <c r="AI77" s="107"/>
      <c r="AJ77" s="107">
        <v>82.5</v>
      </c>
      <c r="AK77" s="107"/>
      <c r="AL77" s="18">
        <v>173.8</v>
      </c>
      <c r="AM77" s="107"/>
      <c r="AN77" s="107">
        <v>106.70000000000002</v>
      </c>
      <c r="AO77" s="107"/>
      <c r="AP77" s="107">
        <v>67.099999999999994</v>
      </c>
      <c r="AQ77" s="142"/>
      <c r="AR77" s="18">
        <v>163.19999999999999</v>
      </c>
      <c r="AS77" s="142"/>
      <c r="AT77" s="107">
        <v>107.19999999999999</v>
      </c>
      <c r="AU77" s="107"/>
      <c r="AV77" s="107">
        <v>56</v>
      </c>
      <c r="AW77" s="142"/>
      <c r="AX77" s="18">
        <v>197.7</v>
      </c>
      <c r="AY77" s="142"/>
      <c r="AZ77" s="107">
        <v>103.1</v>
      </c>
      <c r="BA77" s="107"/>
      <c r="BB77" s="107">
        <v>94.6</v>
      </c>
      <c r="BC77" s="142"/>
      <c r="BD77" s="18">
        <v>62.126438978629771</v>
      </c>
      <c r="BE77" s="142"/>
      <c r="BF77" s="107">
        <f>BD77-BH77</f>
        <v>62.126438978629771</v>
      </c>
      <c r="BG77" s="142"/>
      <c r="BH77" s="107">
        <v>0</v>
      </c>
      <c r="BJ77" s="18"/>
      <c r="BK77" s="142"/>
      <c r="BL77" s="107"/>
      <c r="BM77" s="142"/>
      <c r="BN77" s="107"/>
      <c r="BR77" s="142"/>
    </row>
    <row r="78" spans="1:70" s="7" customFormat="1" ht="11.25" x14ac:dyDescent="0.2">
      <c r="A78" s="142" t="s">
        <v>47</v>
      </c>
      <c r="B78" s="18"/>
      <c r="C78" s="142"/>
      <c r="D78" s="107">
        <f t="shared" si="30"/>
        <v>-91.6</v>
      </c>
      <c r="E78" s="107"/>
      <c r="F78" s="107">
        <v>91.600000000000009</v>
      </c>
      <c r="G78" s="107"/>
      <c r="H78" s="18">
        <v>186.1</v>
      </c>
      <c r="I78" s="142"/>
      <c r="J78" s="107">
        <f t="shared" si="31"/>
        <v>98</v>
      </c>
      <c r="K78" s="107"/>
      <c r="L78" s="107">
        <v>88.1</v>
      </c>
      <c r="M78" s="107"/>
      <c r="N78" s="18">
        <v>192.70000000000002</v>
      </c>
      <c r="O78" s="142"/>
      <c r="P78" s="107">
        <f t="shared" si="32"/>
        <v>100.19999999999999</v>
      </c>
      <c r="Q78" s="107"/>
      <c r="R78" s="107">
        <v>92.463617922869076</v>
      </c>
      <c r="S78" s="142"/>
      <c r="T78" s="18">
        <v>203.30068551219495</v>
      </c>
      <c r="U78" s="142"/>
      <c r="V78" s="107">
        <v>112.72783785278095</v>
      </c>
      <c r="W78" s="107"/>
      <c r="X78" s="107">
        <v>90.572847659413995</v>
      </c>
      <c r="Y78" s="142"/>
      <c r="Z78" s="18">
        <v>162.30000000000001</v>
      </c>
      <c r="AA78" s="142"/>
      <c r="AB78" s="107">
        <v>89.3</v>
      </c>
      <c r="AC78" s="107"/>
      <c r="AD78" s="107">
        <v>73</v>
      </c>
      <c r="AE78" s="142"/>
      <c r="AF78" s="18">
        <v>211.2862246987294</v>
      </c>
      <c r="AG78" s="142"/>
      <c r="AH78" s="107">
        <v>115.2862246987294</v>
      </c>
      <c r="AI78" s="107"/>
      <c r="AJ78" s="107">
        <v>96</v>
      </c>
      <c r="AK78" s="142"/>
      <c r="AL78" s="18">
        <v>195.4</v>
      </c>
      <c r="AM78" s="142"/>
      <c r="AN78" s="107">
        <v>115.60000000000001</v>
      </c>
      <c r="AO78" s="142"/>
      <c r="AP78" s="107">
        <v>79.8</v>
      </c>
      <c r="AQ78" s="142"/>
      <c r="AR78" s="18">
        <v>176</v>
      </c>
      <c r="AS78" s="142"/>
      <c r="AT78" s="107">
        <v>100.8</v>
      </c>
      <c r="AU78" s="142"/>
      <c r="AV78" s="107">
        <v>75.2</v>
      </c>
      <c r="AW78" s="142"/>
      <c r="AX78" s="18">
        <v>109.8</v>
      </c>
      <c r="AY78" s="142"/>
      <c r="AZ78" s="107">
        <v>63.3</v>
      </c>
      <c r="BA78" s="142"/>
      <c r="BB78" s="107">
        <v>46.5</v>
      </c>
      <c r="BC78" s="142"/>
      <c r="BD78" s="18">
        <v>14.279241406277464</v>
      </c>
      <c r="BE78" s="142"/>
      <c r="BF78" s="107">
        <f>BD78-BH78</f>
        <v>14.279241406277464</v>
      </c>
      <c r="BG78" s="142"/>
      <c r="BH78" s="107">
        <v>0</v>
      </c>
      <c r="BJ78" s="18"/>
      <c r="BK78" s="142"/>
      <c r="BL78" s="107"/>
      <c r="BM78" s="142"/>
      <c r="BN78" s="107"/>
      <c r="BR78" s="142"/>
    </row>
    <row r="79" spans="1:70" s="7" customFormat="1" ht="11.25" x14ac:dyDescent="0.2">
      <c r="A79" s="142" t="s">
        <v>48</v>
      </c>
      <c r="B79" s="18"/>
      <c r="C79" s="109"/>
      <c r="D79" s="107">
        <f t="shared" si="30"/>
        <v>0.6</v>
      </c>
      <c r="E79" s="107"/>
      <c r="F79" s="107">
        <v>-0.6</v>
      </c>
      <c r="G79" s="107"/>
      <c r="H79" s="18">
        <v>1.5</v>
      </c>
      <c r="I79" s="109"/>
      <c r="J79" s="107">
        <f t="shared" si="31"/>
        <v>0.10000000000000009</v>
      </c>
      <c r="K79" s="107"/>
      <c r="L79" s="107">
        <v>1.4</v>
      </c>
      <c r="M79" s="107"/>
      <c r="N79" s="18">
        <v>1.6</v>
      </c>
      <c r="O79" s="109"/>
      <c r="P79" s="107">
        <f t="shared" si="32"/>
        <v>1.4000000000000001</v>
      </c>
      <c r="Q79" s="107"/>
      <c r="R79" s="107">
        <v>0.16488791528926</v>
      </c>
      <c r="S79" s="109"/>
      <c r="T79" s="18">
        <v>1.5250965709887401</v>
      </c>
      <c r="U79" s="109"/>
      <c r="V79" s="107">
        <v>1.15219821128168</v>
      </c>
      <c r="W79" s="107"/>
      <c r="X79" s="107">
        <v>0.27289835970706</v>
      </c>
      <c r="Y79" s="109"/>
      <c r="Z79" s="18">
        <v>-1.1244929749521302</v>
      </c>
      <c r="AA79" s="109"/>
      <c r="AB79" s="107">
        <v>-0.4</v>
      </c>
      <c r="AC79" s="107"/>
      <c r="AD79" s="107">
        <v>-0.65829363753053605</v>
      </c>
      <c r="AE79" s="109"/>
      <c r="AF79" s="18">
        <v>-1.9802017616228502</v>
      </c>
      <c r="AG79" s="109"/>
      <c r="AH79" s="107">
        <v>-0.98020176162285022</v>
      </c>
      <c r="AI79" s="107"/>
      <c r="AJ79" s="107">
        <v>-1</v>
      </c>
      <c r="AK79" s="109"/>
      <c r="AL79" s="18">
        <v>-0.4</v>
      </c>
      <c r="AM79" s="109"/>
      <c r="AN79" s="107">
        <v>-0.4</v>
      </c>
      <c r="AO79" s="109"/>
      <c r="AP79" s="107">
        <v>0</v>
      </c>
      <c r="AQ79" s="142"/>
      <c r="AR79" s="18">
        <v>1.5</v>
      </c>
      <c r="AS79" s="142"/>
      <c r="AT79" s="107">
        <v>1</v>
      </c>
      <c r="AU79" s="109"/>
      <c r="AV79" s="107">
        <v>0.5</v>
      </c>
      <c r="AW79" s="142"/>
      <c r="AX79" s="18">
        <v>-3.8</v>
      </c>
      <c r="AY79" s="142"/>
      <c r="AZ79" s="107">
        <v>8.3999999999999986</v>
      </c>
      <c r="BA79" s="109"/>
      <c r="BB79" s="107">
        <v>-12.2</v>
      </c>
      <c r="BC79" s="142"/>
      <c r="BD79" s="18">
        <v>3.0610722048488337</v>
      </c>
      <c r="BE79" s="142"/>
      <c r="BF79" s="107">
        <f>BD79-BH79</f>
        <v>3.0610722048488337</v>
      </c>
      <c r="BG79" s="142"/>
      <c r="BH79" s="107">
        <v>0</v>
      </c>
      <c r="BJ79" s="18"/>
      <c r="BK79" s="142"/>
      <c r="BL79" s="107"/>
      <c r="BM79" s="142"/>
      <c r="BN79" s="107"/>
      <c r="BR79" s="142"/>
    </row>
    <row r="80" spans="1:70" s="7" customFormat="1" ht="11.25" x14ac:dyDescent="0.2">
      <c r="A80" s="150" t="s">
        <v>49</v>
      </c>
      <c r="B80" s="25"/>
      <c r="C80" s="108"/>
      <c r="D80" s="108">
        <f t="shared" si="30"/>
        <v>-225</v>
      </c>
      <c r="E80" s="108"/>
      <c r="F80" s="108">
        <f t="array" ref="F80">SUM(ROUND(F77:F79,1))</f>
        <v>225</v>
      </c>
      <c r="G80" s="108"/>
      <c r="H80" s="25">
        <v>347.2</v>
      </c>
      <c r="I80" s="108"/>
      <c r="J80" s="108">
        <f t="shared" si="31"/>
        <v>193.5</v>
      </c>
      <c r="K80" s="108"/>
      <c r="L80" s="108">
        <v>153.70000000000002</v>
      </c>
      <c r="M80" s="108"/>
      <c r="N80" s="25">
        <v>376</v>
      </c>
      <c r="O80" s="108"/>
      <c r="P80" s="108">
        <f t="shared" si="32"/>
        <v>207.9</v>
      </c>
      <c r="Q80" s="108"/>
      <c r="R80" s="108">
        <v>168.14570140361974</v>
      </c>
      <c r="S80" s="108"/>
      <c r="T80" s="25">
        <v>370.50075041834771</v>
      </c>
      <c r="U80" s="108"/>
      <c r="V80" s="108">
        <v>210.74850975166601</v>
      </c>
      <c r="W80" s="108"/>
      <c r="X80" s="108">
        <v>159.75224066668167</v>
      </c>
      <c r="Y80" s="108"/>
      <c r="Z80" s="25">
        <v>324.39999999999998</v>
      </c>
      <c r="AA80" s="108"/>
      <c r="AB80" s="108">
        <v>179.2</v>
      </c>
      <c r="AC80" s="108"/>
      <c r="AD80" s="108">
        <v>145.19999999999999</v>
      </c>
      <c r="AE80" s="108"/>
      <c r="AF80" s="25">
        <v>399.91527054871614</v>
      </c>
      <c r="AG80" s="108"/>
      <c r="AH80" s="108">
        <v>222.41527054871608</v>
      </c>
      <c r="AI80" s="108"/>
      <c r="AJ80" s="108">
        <v>177.5</v>
      </c>
      <c r="AK80" s="108"/>
      <c r="AL80" s="25">
        <v>368.80000000000007</v>
      </c>
      <c r="AM80" s="108"/>
      <c r="AN80" s="108">
        <v>221.9</v>
      </c>
      <c r="AO80" s="108"/>
      <c r="AP80" s="108">
        <v>146.89999999999998</v>
      </c>
      <c r="AQ80" s="108"/>
      <c r="AR80" s="25">
        <v>340.7</v>
      </c>
      <c r="AS80" s="108"/>
      <c r="AT80" s="108">
        <v>209</v>
      </c>
      <c r="AU80" s="108"/>
      <c r="AV80" s="108">
        <v>131.69999999999999</v>
      </c>
      <c r="AW80" s="108"/>
      <c r="AX80" s="25">
        <v>303.7</v>
      </c>
      <c r="AY80" s="108"/>
      <c r="AZ80" s="108">
        <v>174.79999999999998</v>
      </c>
      <c r="BA80" s="108"/>
      <c r="BB80" s="108">
        <f>SUM(BB77:BB79)</f>
        <v>128.9</v>
      </c>
      <c r="BC80" s="108"/>
      <c r="BD80" s="25">
        <f>SUM(BD77:BD79)</f>
        <v>79.466752589756069</v>
      </c>
      <c r="BE80" s="108"/>
      <c r="BF80" s="108">
        <f>SUM(BF77:BF79)</f>
        <v>79.466752589756069</v>
      </c>
      <c r="BG80" s="108"/>
      <c r="BH80" s="108">
        <f>SUM(BH77:BH79)</f>
        <v>0</v>
      </c>
      <c r="BJ80" s="25"/>
      <c r="BK80" s="108"/>
      <c r="BL80" s="108"/>
      <c r="BM80" s="108"/>
      <c r="BN80" s="108"/>
      <c r="BR80" s="142"/>
    </row>
    <row r="81" spans="1:70" s="7" customFormat="1" ht="11.25" x14ac:dyDescent="0.2">
      <c r="A81" s="150"/>
      <c r="B81" s="18"/>
      <c r="C81" s="107"/>
      <c r="D81" s="107"/>
      <c r="E81" s="107"/>
      <c r="F81" s="107"/>
      <c r="G81" s="107"/>
      <c r="H81" s="18"/>
      <c r="I81" s="107"/>
      <c r="J81" s="107"/>
      <c r="K81" s="107"/>
      <c r="L81" s="107"/>
      <c r="M81" s="107"/>
      <c r="N81" s="18"/>
      <c r="O81" s="107"/>
      <c r="P81" s="107"/>
      <c r="Q81" s="107"/>
      <c r="R81" s="107"/>
      <c r="S81" s="107"/>
      <c r="T81" s="18"/>
      <c r="U81" s="107"/>
      <c r="V81" s="107"/>
      <c r="W81" s="107"/>
      <c r="X81" s="107"/>
      <c r="Y81" s="107"/>
      <c r="Z81" s="18"/>
      <c r="AA81" s="107"/>
      <c r="AB81" s="107"/>
      <c r="AC81" s="107"/>
      <c r="AD81" s="107"/>
      <c r="AE81" s="107"/>
      <c r="AF81" s="18"/>
      <c r="AG81" s="107"/>
      <c r="AH81" s="107"/>
      <c r="AI81" s="107"/>
      <c r="AJ81" s="107"/>
      <c r="AK81" s="107"/>
      <c r="AL81" s="18"/>
      <c r="AM81" s="107"/>
      <c r="AN81" s="107"/>
      <c r="AO81" s="107"/>
      <c r="AP81" s="107"/>
      <c r="AQ81" s="107"/>
      <c r="AR81" s="18"/>
      <c r="AS81" s="107"/>
      <c r="AT81" s="107"/>
      <c r="AU81" s="107"/>
      <c r="AV81" s="107"/>
      <c r="AW81" s="107"/>
      <c r="AX81" s="18"/>
      <c r="AY81" s="107"/>
      <c r="AZ81" s="107"/>
      <c r="BA81" s="107"/>
      <c r="BB81" s="107"/>
      <c r="BC81" s="107"/>
      <c r="BD81" s="18"/>
      <c r="BE81" s="107"/>
      <c r="BF81" s="107"/>
      <c r="BG81" s="107"/>
      <c r="BH81" s="107"/>
      <c r="BJ81" s="18"/>
      <c r="BK81" s="107"/>
      <c r="BL81" s="107"/>
      <c r="BM81" s="107"/>
      <c r="BN81" s="107"/>
      <c r="BR81" s="142"/>
    </row>
    <row r="82" spans="1:70" s="7" customFormat="1" ht="11.25" x14ac:dyDescent="0.2">
      <c r="A82" s="544" t="s">
        <v>3051</v>
      </c>
      <c r="B82" s="18"/>
      <c r="C82" s="107"/>
      <c r="D82" s="107">
        <f>ROUND(B82,1)-ROUND(F82,1)</f>
        <v>8.6</v>
      </c>
      <c r="E82" s="107"/>
      <c r="F82" s="107">
        <v>-8.6</v>
      </c>
      <c r="G82" s="107"/>
      <c r="H82" s="18">
        <v>-23.3</v>
      </c>
      <c r="I82" s="107"/>
      <c r="J82" s="107">
        <f>ROUND(H82,1)-ROUND(L82,1)</f>
        <v>-12.5</v>
      </c>
      <c r="K82" s="107"/>
      <c r="L82" s="107">
        <v>-10.8</v>
      </c>
      <c r="M82" s="107"/>
      <c r="N82" s="18">
        <v>-23.6</v>
      </c>
      <c r="O82" s="107"/>
      <c r="P82" s="107">
        <f>ROUND(N82,1)-ROUND(R82,1)</f>
        <v>-12.100000000000001</v>
      </c>
      <c r="Q82" s="107"/>
      <c r="R82" s="107">
        <v>-11.503397023117</v>
      </c>
      <c r="S82" s="107"/>
      <c r="T82" s="18">
        <v>-34.531094616796004</v>
      </c>
      <c r="U82" s="107"/>
      <c r="V82" s="107">
        <v>-17.974130625734507</v>
      </c>
      <c r="W82" s="107"/>
      <c r="X82" s="107">
        <v>-16.456963991061496</v>
      </c>
      <c r="Y82" s="107"/>
      <c r="Z82" s="18">
        <v>-31.2</v>
      </c>
      <c r="AA82" s="107"/>
      <c r="AB82" s="107">
        <v>-7.2</v>
      </c>
      <c r="AC82" s="107"/>
      <c r="AD82" s="107">
        <v>-24</v>
      </c>
      <c r="AE82" s="107"/>
      <c r="AF82" s="18">
        <v>-71.701357561417709</v>
      </c>
      <c r="AG82" s="107"/>
      <c r="AH82" s="107">
        <v>-47.701357561417709</v>
      </c>
      <c r="AI82" s="107"/>
      <c r="AJ82" s="107">
        <v>-24</v>
      </c>
      <c r="AK82" s="107"/>
      <c r="AL82" s="18">
        <v>-45.7</v>
      </c>
      <c r="AM82" s="107"/>
      <c r="AN82" s="107">
        <v>-34</v>
      </c>
      <c r="AO82" s="107"/>
      <c r="AP82" s="107">
        <v>-11.7</v>
      </c>
      <c r="AQ82" s="142"/>
      <c r="AR82" s="18">
        <v>-26.8</v>
      </c>
      <c r="AS82" s="142"/>
      <c r="AT82" s="107">
        <v>-18.3</v>
      </c>
      <c r="AU82" s="107"/>
      <c r="AV82" s="107">
        <v>-8.5</v>
      </c>
      <c r="AW82" s="107"/>
      <c r="AX82" s="18">
        <v>-29.6</v>
      </c>
      <c r="AY82" s="107"/>
      <c r="AZ82" s="107">
        <v>-16.5</v>
      </c>
      <c r="BA82" s="107"/>
      <c r="BB82" s="107">
        <f>-1.5-11.6</f>
        <v>-13.1</v>
      </c>
      <c r="BC82" s="107"/>
      <c r="BD82" s="18">
        <f>-78.43+13.8+20.3+6+4</f>
        <v>-34.330000000000013</v>
      </c>
      <c r="BE82" s="107"/>
      <c r="BF82" s="107">
        <f>BD82-BH82</f>
        <v>-14.930000000000014</v>
      </c>
      <c r="BG82" s="142"/>
      <c r="BH82" s="107">
        <v>-19.399999999999999</v>
      </c>
      <c r="BI82" s="168"/>
      <c r="BJ82" s="18"/>
      <c r="BK82" s="142"/>
      <c r="BL82" s="107"/>
      <c r="BM82" s="142"/>
      <c r="BN82" s="107"/>
      <c r="BR82" s="142"/>
    </row>
    <row r="83" spans="1:70" s="7" customFormat="1" ht="11.25" x14ac:dyDescent="0.2">
      <c r="A83" s="150"/>
      <c r="B83" s="19"/>
      <c r="C83" s="109"/>
      <c r="D83" s="109"/>
      <c r="E83" s="109"/>
      <c r="F83" s="109"/>
      <c r="G83" s="109"/>
      <c r="H83" s="19"/>
      <c r="I83" s="109"/>
      <c r="J83" s="109"/>
      <c r="K83" s="109"/>
      <c r="L83" s="109"/>
      <c r="M83" s="109"/>
      <c r="N83" s="19"/>
      <c r="O83" s="109"/>
      <c r="P83" s="109"/>
      <c r="Q83" s="109"/>
      <c r="R83" s="109"/>
      <c r="S83" s="109"/>
      <c r="T83" s="19"/>
      <c r="U83" s="109"/>
      <c r="V83" s="109"/>
      <c r="W83" s="109"/>
      <c r="X83" s="109"/>
      <c r="Y83" s="109"/>
      <c r="Z83" s="19"/>
      <c r="AA83" s="109"/>
      <c r="AB83" s="109"/>
      <c r="AC83" s="109"/>
      <c r="AD83" s="109"/>
      <c r="AE83" s="109"/>
      <c r="AF83" s="19"/>
      <c r="AG83" s="109"/>
      <c r="AH83" s="109"/>
      <c r="AI83" s="109"/>
      <c r="AJ83" s="109"/>
      <c r="AK83" s="109"/>
      <c r="AL83" s="19"/>
      <c r="AM83" s="109"/>
      <c r="AN83" s="109"/>
      <c r="AO83" s="109"/>
      <c r="AP83" s="109"/>
      <c r="AQ83" s="142"/>
      <c r="AR83" s="19"/>
      <c r="AS83" s="142"/>
      <c r="AT83" s="109"/>
      <c r="AU83" s="109"/>
      <c r="AV83" s="109"/>
      <c r="AW83" s="142"/>
      <c r="AX83" s="19"/>
      <c r="AY83" s="142"/>
      <c r="AZ83" s="109"/>
      <c r="BA83" s="109"/>
      <c r="BB83" s="109"/>
      <c r="BC83" s="142"/>
      <c r="BD83" s="19"/>
      <c r="BE83" s="142"/>
      <c r="BF83" s="109"/>
      <c r="BG83" s="142"/>
      <c r="BH83" s="109"/>
      <c r="BJ83" s="19"/>
      <c r="BK83" s="142"/>
      <c r="BL83" s="109"/>
      <c r="BM83" s="142"/>
      <c r="BN83" s="109"/>
      <c r="BR83" s="142"/>
    </row>
    <row r="84" spans="1:70" s="20" customFormat="1" ht="11.25" x14ac:dyDescent="0.2">
      <c r="A84" s="164" t="s">
        <v>3055</v>
      </c>
      <c r="B84" s="167"/>
      <c r="C84" s="166"/>
      <c r="D84" s="166">
        <f>ROUND(B84,1)-ROUND(F84,1)</f>
        <v>-242.8</v>
      </c>
      <c r="E84" s="166"/>
      <c r="F84" s="166">
        <f>F75+F80+F82</f>
        <v>242.8</v>
      </c>
      <c r="G84" s="166"/>
      <c r="H84" s="167">
        <v>428.09999999999997</v>
      </c>
      <c r="I84" s="166"/>
      <c r="J84" s="166">
        <f>ROUND(H84,1)-ROUND(L84,1)</f>
        <v>230.8</v>
      </c>
      <c r="K84" s="166"/>
      <c r="L84" s="166">
        <v>197.3</v>
      </c>
      <c r="M84" s="166"/>
      <c r="N84" s="542">
        <v>576.5</v>
      </c>
      <c r="O84" s="166"/>
      <c r="P84" s="166">
        <f>ROUND(N84,1)-ROUND(R84,1)</f>
        <v>360.9</v>
      </c>
      <c r="Q84" s="166"/>
      <c r="R84" s="166">
        <v>215.60194802959694</v>
      </c>
      <c r="S84" s="166"/>
      <c r="T84" s="167">
        <v>519.38691403059522</v>
      </c>
      <c r="U84" s="166"/>
      <c r="V84" s="166">
        <v>326.32620308600292</v>
      </c>
      <c r="W84" s="166"/>
      <c r="X84" s="166">
        <v>193.0607109445923</v>
      </c>
      <c r="Y84" s="166"/>
      <c r="Z84" s="167">
        <v>461.5</v>
      </c>
      <c r="AA84" s="166"/>
      <c r="AB84" s="166">
        <v>291.39999999999998</v>
      </c>
      <c r="AC84" s="166"/>
      <c r="AD84" s="166">
        <v>170.1</v>
      </c>
      <c r="AE84" s="166"/>
      <c r="AF84" s="167">
        <v>599.10888800677264</v>
      </c>
      <c r="AG84" s="166"/>
      <c r="AH84" s="166">
        <v>384.70888800677261</v>
      </c>
      <c r="AI84" s="166"/>
      <c r="AJ84" s="166">
        <v>214.4</v>
      </c>
      <c r="AK84" s="166"/>
      <c r="AL84" s="167">
        <v>772.10000000000014</v>
      </c>
      <c r="AM84" s="166"/>
      <c r="AN84" s="166">
        <v>498.29999999999995</v>
      </c>
      <c r="AO84" s="166"/>
      <c r="AP84" s="166">
        <v>273.8</v>
      </c>
      <c r="AQ84" s="166"/>
      <c r="AR84" s="167">
        <v>648.29999999999995</v>
      </c>
      <c r="AS84" s="166"/>
      <c r="AT84" s="166">
        <v>418.2</v>
      </c>
      <c r="AU84" s="166"/>
      <c r="AV84" s="166">
        <v>230.1</v>
      </c>
      <c r="AW84" s="166"/>
      <c r="AX84" s="167">
        <v>575.70000000000005</v>
      </c>
      <c r="AY84" s="166"/>
      <c r="AZ84" s="166">
        <v>303.5</v>
      </c>
      <c r="BA84" s="166"/>
      <c r="BB84" s="166">
        <f>SUM(BB82,BB80,BB75)</f>
        <v>272.2</v>
      </c>
      <c r="BC84" s="166"/>
      <c r="BD84" s="167">
        <f>SUM(BD82,BD80,BD75)</f>
        <v>955.33675258975609</v>
      </c>
      <c r="BE84" s="166"/>
      <c r="BF84" s="166">
        <f>SUM(BF82,BF80,BF75)</f>
        <v>705.33675258975609</v>
      </c>
      <c r="BG84" s="166"/>
      <c r="BH84" s="166">
        <f>SUM(BH82,BH80,BH75)</f>
        <v>249.99999999999997</v>
      </c>
      <c r="BJ84" s="167"/>
      <c r="BK84" s="166"/>
      <c r="BL84" s="166"/>
      <c r="BM84" s="166"/>
      <c r="BN84" s="166"/>
      <c r="BR84" s="150"/>
    </row>
    <row r="85" spans="1:70" s="7" customFormat="1" ht="11.25" x14ac:dyDescent="0.2">
      <c r="A85" s="142"/>
      <c r="B85" s="27"/>
      <c r="C85" s="107"/>
      <c r="D85" s="107"/>
      <c r="E85" s="107"/>
      <c r="F85" s="107"/>
      <c r="G85" s="107"/>
      <c r="H85" s="27"/>
      <c r="I85" s="107"/>
      <c r="J85" s="107"/>
      <c r="K85" s="107"/>
      <c r="L85" s="107"/>
      <c r="M85" s="107"/>
      <c r="N85" s="27"/>
      <c r="O85" s="107"/>
      <c r="P85" s="107"/>
      <c r="Q85" s="107"/>
      <c r="R85" s="107"/>
      <c r="S85" s="107"/>
      <c r="T85" s="27"/>
      <c r="U85" s="107"/>
      <c r="V85" s="107"/>
      <c r="W85" s="107"/>
      <c r="X85" s="107"/>
      <c r="Y85" s="107"/>
      <c r="Z85" s="27"/>
      <c r="AA85" s="107"/>
      <c r="AB85" s="107"/>
      <c r="AC85" s="107"/>
      <c r="AD85" s="107"/>
      <c r="AE85" s="107"/>
      <c r="AF85" s="27"/>
      <c r="AG85" s="107"/>
      <c r="AH85" s="107"/>
      <c r="AI85" s="107"/>
      <c r="AJ85" s="107"/>
      <c r="AK85" s="107"/>
      <c r="AL85" s="27"/>
      <c r="AM85" s="107"/>
      <c r="AN85" s="107"/>
      <c r="AO85" s="107"/>
      <c r="AP85" s="107"/>
      <c r="AQ85" s="107"/>
      <c r="AR85" s="27"/>
      <c r="AS85" s="107"/>
      <c r="AT85" s="107"/>
      <c r="AU85" s="107"/>
      <c r="AV85" s="107"/>
      <c r="AW85" s="107"/>
      <c r="AX85" s="27"/>
      <c r="AY85" s="107"/>
      <c r="AZ85" s="107"/>
      <c r="BA85" s="107"/>
      <c r="BB85" s="107"/>
      <c r="BC85" s="107"/>
      <c r="BD85" s="27"/>
      <c r="BE85" s="107"/>
      <c r="BF85" s="107"/>
      <c r="BG85" s="107"/>
      <c r="BH85" s="107"/>
      <c r="BJ85" s="27"/>
      <c r="BK85" s="107"/>
      <c r="BL85" s="107"/>
      <c r="BM85" s="107"/>
      <c r="BN85" s="107"/>
      <c r="BR85" s="142"/>
    </row>
    <row r="86" spans="1:70" s="7" customFormat="1" ht="11.25" x14ac:dyDescent="0.2">
      <c r="A86" s="142"/>
      <c r="B86" s="19"/>
      <c r="C86" s="109"/>
      <c r="D86" s="109"/>
      <c r="E86" s="109"/>
      <c r="F86" s="109"/>
      <c r="G86" s="109"/>
      <c r="H86" s="19"/>
      <c r="I86" s="109"/>
      <c r="J86" s="109"/>
      <c r="K86" s="109"/>
      <c r="L86" s="109"/>
      <c r="M86" s="109"/>
      <c r="N86" s="19"/>
      <c r="O86" s="109"/>
      <c r="P86" s="109"/>
      <c r="Q86" s="109"/>
      <c r="R86" s="109"/>
      <c r="S86" s="109"/>
      <c r="T86" s="19"/>
      <c r="U86" s="109"/>
      <c r="V86" s="109"/>
      <c r="W86" s="109"/>
      <c r="X86" s="109"/>
      <c r="Y86" s="109"/>
      <c r="Z86" s="19"/>
      <c r="AA86" s="109"/>
      <c r="AB86" s="109"/>
      <c r="AC86" s="109"/>
      <c r="AD86" s="109"/>
      <c r="AE86" s="109"/>
      <c r="AF86" s="19"/>
      <c r="AG86" s="109"/>
      <c r="AH86" s="109"/>
      <c r="AI86" s="109"/>
      <c r="AJ86" s="109"/>
      <c r="AK86" s="109"/>
      <c r="AL86" s="19"/>
      <c r="AM86" s="109"/>
      <c r="AN86" s="109"/>
      <c r="AO86" s="109"/>
      <c r="AP86" s="109"/>
      <c r="AQ86" s="142"/>
      <c r="AR86" s="19"/>
      <c r="AS86" s="142"/>
      <c r="AT86" s="109"/>
      <c r="AU86" s="109"/>
      <c r="AV86" s="109"/>
      <c r="AW86" s="142"/>
      <c r="AX86" s="19"/>
      <c r="AY86" s="142"/>
      <c r="AZ86" s="109"/>
      <c r="BA86" s="109"/>
      <c r="BB86" s="109"/>
      <c r="BC86" s="142"/>
      <c r="BD86" s="19"/>
      <c r="BE86" s="142"/>
      <c r="BF86" s="109"/>
      <c r="BG86" s="142"/>
      <c r="BH86" s="109"/>
      <c r="BJ86" s="19"/>
      <c r="BK86" s="142"/>
      <c r="BL86" s="109"/>
      <c r="BM86" s="142"/>
      <c r="BN86" s="109"/>
      <c r="BR86" s="142"/>
    </row>
    <row r="87" spans="1:70" s="7" customFormat="1" ht="34.5" customHeight="1" x14ac:dyDescent="0.2">
      <c r="A87" s="451" t="s">
        <v>347</v>
      </c>
      <c r="B87" s="19"/>
      <c r="C87" s="109"/>
      <c r="D87" s="109"/>
      <c r="E87" s="109"/>
      <c r="F87" s="109"/>
      <c r="G87" s="109"/>
      <c r="H87" s="19"/>
      <c r="I87" s="109"/>
      <c r="J87" s="109"/>
      <c r="K87" s="109"/>
      <c r="L87" s="109"/>
      <c r="M87" s="109"/>
      <c r="N87" s="19"/>
      <c r="O87" s="109"/>
      <c r="P87" s="109"/>
      <c r="Q87" s="109"/>
      <c r="R87" s="109"/>
      <c r="S87" s="109"/>
      <c r="T87" s="19"/>
      <c r="U87" s="109"/>
      <c r="V87" s="109"/>
      <c r="W87" s="109"/>
      <c r="X87" s="109"/>
      <c r="Y87" s="109"/>
      <c r="Z87" s="19"/>
      <c r="AA87" s="109"/>
      <c r="AB87" s="109"/>
      <c r="AC87" s="109"/>
      <c r="AD87" s="109"/>
      <c r="AE87" s="109"/>
      <c r="AF87" s="19"/>
      <c r="AG87" s="109"/>
      <c r="AH87" s="109"/>
      <c r="AI87" s="109"/>
      <c r="AJ87" s="109"/>
      <c r="AK87" s="109"/>
      <c r="AL87" s="19"/>
      <c r="AM87" s="109"/>
      <c r="AN87" s="109"/>
      <c r="AO87" s="109"/>
      <c r="AP87" s="109"/>
      <c r="AQ87" s="142"/>
      <c r="AR87" s="19"/>
      <c r="AS87" s="142"/>
      <c r="AT87" s="109"/>
      <c r="AU87" s="109"/>
      <c r="AV87" s="109"/>
      <c r="AW87" s="142"/>
      <c r="AX87" s="19"/>
      <c r="AY87" s="142"/>
      <c r="AZ87" s="109"/>
      <c r="BA87" s="109"/>
      <c r="BB87" s="109"/>
      <c r="BC87" s="142"/>
      <c r="BD87" s="19"/>
      <c r="BE87" s="142"/>
      <c r="BF87" s="109"/>
      <c r="BG87" s="142"/>
      <c r="BH87" s="109"/>
      <c r="BI87" s="13"/>
      <c r="BJ87" s="19"/>
      <c r="BK87" s="142"/>
      <c r="BL87" s="109"/>
      <c r="BM87" s="142"/>
      <c r="BN87" s="109"/>
      <c r="BR87" s="142"/>
    </row>
    <row r="88" spans="1:70" s="7" customFormat="1" ht="11.25" x14ac:dyDescent="0.2">
      <c r="A88" s="142" t="s">
        <v>346</v>
      </c>
      <c r="B88" s="27"/>
      <c r="C88" s="109"/>
      <c r="D88" s="107">
        <f>B88</f>
        <v>0</v>
      </c>
      <c r="E88" s="107"/>
      <c r="F88" s="107">
        <v>3536.3061282059361</v>
      </c>
      <c r="G88" s="107"/>
      <c r="H88" s="27">
        <v>3568.2</v>
      </c>
      <c r="I88" s="109"/>
      <c r="J88" s="107">
        <f>H88</f>
        <v>3568.2</v>
      </c>
      <c r="K88" s="107"/>
      <c r="L88" s="107">
        <v>3594.7122224310133</v>
      </c>
      <c r="M88" s="107"/>
      <c r="N88" s="27">
        <v>3759.5183686035302</v>
      </c>
      <c r="O88" s="109"/>
      <c r="P88" s="107">
        <v>3759.5183686035302</v>
      </c>
      <c r="Q88" s="107"/>
      <c r="R88" s="107">
        <v>3778</v>
      </c>
      <c r="S88" s="109"/>
      <c r="T88" s="27">
        <v>3801.4</v>
      </c>
      <c r="U88" s="109"/>
      <c r="V88" s="107">
        <v>3801.4</v>
      </c>
      <c r="W88" s="107"/>
      <c r="X88" s="107">
        <v>3741.2</v>
      </c>
      <c r="Y88" s="109"/>
      <c r="Z88" s="27">
        <v>3737.5</v>
      </c>
      <c r="AA88" s="109"/>
      <c r="AB88" s="107">
        <v>3737.5</v>
      </c>
      <c r="AC88" s="107"/>
      <c r="AD88" s="107">
        <v>3711.3</v>
      </c>
      <c r="AE88" s="109"/>
      <c r="AF88" s="27">
        <v>3655.4</v>
      </c>
      <c r="AG88" s="109"/>
      <c r="AH88" s="107">
        <v>3655.4</v>
      </c>
      <c r="AI88" s="107"/>
      <c r="AJ88" s="107">
        <v>3340.3</v>
      </c>
      <c r="AK88" s="109"/>
      <c r="AL88" s="27">
        <v>3170.2</v>
      </c>
      <c r="AM88" s="109"/>
      <c r="AN88" s="107">
        <v>3170.2</v>
      </c>
      <c r="AO88" s="109"/>
      <c r="AP88" s="107">
        <v>2842.5</v>
      </c>
      <c r="AQ88" s="142"/>
      <c r="AR88" s="27">
        <v>2702.5</v>
      </c>
      <c r="AS88" s="142"/>
      <c r="AT88" s="107">
        <v>2702.5</v>
      </c>
      <c r="AU88" s="109"/>
      <c r="AV88" s="107">
        <v>2567.5</v>
      </c>
      <c r="AW88" s="142"/>
      <c r="AX88" s="27">
        <v>2590.3000000000002</v>
      </c>
      <c r="AY88" s="142"/>
      <c r="AZ88" s="107">
        <v>2590.3000000000002</v>
      </c>
      <c r="BA88" s="109"/>
      <c r="BB88" s="107">
        <f>'IPL 2008 BS'!G849/1000000+'DNAP 2008 BS'!B27/1000000-Indo!H8/1000000-PNG!H8/1000000-(91.6/2)</f>
        <v>3278.1243631053967</v>
      </c>
      <c r="BC88" s="142"/>
      <c r="BD88" s="27">
        <f>'IPL 2008 BS'!H849/1000000+'DNAP 2008 BS'!B28/1000000-Indo!H9/1000000-PNG!H9/1000000-(91.6/2)</f>
        <v>2865.199091234163</v>
      </c>
      <c r="BE88" s="142"/>
      <c r="BF88" s="107">
        <f>BD88</f>
        <v>2865.199091234163</v>
      </c>
      <c r="BG88" s="142"/>
      <c r="BH88" s="107">
        <v>696.5</v>
      </c>
      <c r="BJ88" s="18"/>
      <c r="BK88" s="142"/>
      <c r="BL88" s="107"/>
      <c r="BM88" s="142"/>
      <c r="BN88" s="107"/>
      <c r="BR88" s="142"/>
    </row>
    <row r="89" spans="1:70" s="7" customFormat="1" ht="11.25" x14ac:dyDescent="0.2">
      <c r="A89" s="142" t="s">
        <v>3048</v>
      </c>
      <c r="B89" s="27"/>
      <c r="C89" s="109"/>
      <c r="D89" s="107">
        <f t="shared" ref="D89:D91" si="33">B89</f>
        <v>0</v>
      </c>
      <c r="E89" s="107"/>
      <c r="F89" s="107">
        <v>3754.1000000000004</v>
      </c>
      <c r="G89" s="107"/>
      <c r="H89" s="27">
        <v>3763</v>
      </c>
      <c r="I89" s="109"/>
      <c r="J89" s="107">
        <f t="shared" ref="J89:J91" si="34">H89</f>
        <v>3763</v>
      </c>
      <c r="K89" s="107"/>
      <c r="L89" s="107">
        <v>3657.6</v>
      </c>
      <c r="M89" s="107"/>
      <c r="N89" s="27">
        <v>3885.4447552550901</v>
      </c>
      <c r="O89" s="109"/>
      <c r="P89" s="107">
        <v>3885.4447552550901</v>
      </c>
      <c r="Q89" s="107"/>
      <c r="R89" s="107">
        <v>3431.7856139583109</v>
      </c>
      <c r="S89" s="109"/>
      <c r="T89" s="27">
        <v>2925.844502161242</v>
      </c>
      <c r="U89" s="109"/>
      <c r="V89" s="107">
        <v>2925.844502161242</v>
      </c>
      <c r="W89" s="107"/>
      <c r="X89" s="107">
        <v>2606.1856845634452</v>
      </c>
      <c r="Y89" s="109"/>
      <c r="Z89" s="27">
        <v>2420.2614811913213</v>
      </c>
      <c r="AA89" s="109"/>
      <c r="AB89" s="107">
        <v>2420.2614811913213</v>
      </c>
      <c r="AC89" s="107"/>
      <c r="AD89" s="107">
        <v>2039.1810454456024</v>
      </c>
      <c r="AE89" s="109"/>
      <c r="AF89" s="27">
        <v>2074.9</v>
      </c>
      <c r="AG89" s="109"/>
      <c r="AH89" s="107">
        <v>2074.9</v>
      </c>
      <c r="AI89" s="107"/>
      <c r="AJ89" s="107">
        <v>2028.3</v>
      </c>
      <c r="AK89" s="109"/>
      <c r="AL89" s="27">
        <v>2129.6</v>
      </c>
      <c r="AM89" s="109"/>
      <c r="AN89" s="107">
        <v>2129.6</v>
      </c>
      <c r="AO89" s="109"/>
      <c r="AP89" s="107">
        <v>2042.5</v>
      </c>
      <c r="AQ89" s="142"/>
      <c r="AR89" s="27">
        <v>2195.4</v>
      </c>
      <c r="AS89" s="142"/>
      <c r="AT89" s="107">
        <v>2195.4</v>
      </c>
      <c r="AU89" s="109"/>
      <c r="AV89" s="107">
        <v>2395.4</v>
      </c>
      <c r="AW89" s="142"/>
      <c r="AX89" s="27">
        <v>2431.8000000000002</v>
      </c>
      <c r="AY89" s="142"/>
      <c r="AZ89" s="107">
        <v>2431.8000000000002</v>
      </c>
      <c r="BA89" s="109"/>
      <c r="BB89" s="107">
        <f>'DNA 2008 BS'!B27/1000000-'Mexico BS 2008'!B27/1000000-(91.6/2)</f>
        <v>3351.955708651677</v>
      </c>
      <c r="BC89" s="142"/>
      <c r="BD89" s="27">
        <f>'DNA 2008 BS'!B28/1000000-'Mexico BS 2008'!B28/1000000-(91.6/2)</f>
        <v>2898.9714648957538</v>
      </c>
      <c r="BE89" s="142"/>
      <c r="BF89" s="107">
        <f t="shared" ref="BF89:BF91" si="35">BD89</f>
        <v>2898.9714648957538</v>
      </c>
      <c r="BG89" s="142"/>
      <c r="BH89" s="107">
        <v>0</v>
      </c>
      <c r="BI89" s="168"/>
      <c r="BJ89" s="27"/>
      <c r="BK89" s="142"/>
      <c r="BL89" s="107"/>
      <c r="BM89" s="142"/>
      <c r="BN89" s="107"/>
      <c r="BR89" s="142"/>
    </row>
    <row r="90" spans="1:70" s="7" customFormat="1" ht="11.25" x14ac:dyDescent="0.2">
      <c r="A90" s="142" t="s">
        <v>345</v>
      </c>
      <c r="B90" s="27"/>
      <c r="C90" s="109"/>
      <c r="D90" s="107">
        <f t="shared" si="33"/>
        <v>0</v>
      </c>
      <c r="E90" s="107"/>
      <c r="F90" s="107">
        <v>1.1872735053538481</v>
      </c>
      <c r="G90" s="107"/>
      <c r="H90" s="27">
        <v>1.4</v>
      </c>
      <c r="I90" s="109"/>
      <c r="J90" s="107">
        <f t="shared" si="34"/>
        <v>1.4</v>
      </c>
      <c r="K90" s="107"/>
      <c r="L90" s="107">
        <v>1.2869861565617642</v>
      </c>
      <c r="M90" s="107"/>
      <c r="N90" s="27">
        <v>1.2704885831337251</v>
      </c>
      <c r="O90" s="109"/>
      <c r="P90" s="107">
        <v>1.2704885831337251</v>
      </c>
      <c r="Q90" s="107"/>
      <c r="R90" s="107">
        <v>0</v>
      </c>
      <c r="S90" s="109"/>
      <c r="T90" s="27">
        <v>0</v>
      </c>
      <c r="U90" s="109"/>
      <c r="V90" s="107">
        <v>0</v>
      </c>
      <c r="W90" s="107"/>
      <c r="X90" s="107">
        <v>43.34053049713819</v>
      </c>
      <c r="Y90" s="109"/>
      <c r="Z90" s="27">
        <v>46.057976015022007</v>
      </c>
      <c r="AA90" s="109"/>
      <c r="AB90" s="107">
        <v>46.057976015022007</v>
      </c>
      <c r="AC90" s="107"/>
      <c r="AD90" s="107">
        <v>86.820595593041389</v>
      </c>
      <c r="AE90" s="109"/>
      <c r="AF90" s="27">
        <v>88.447874326297196</v>
      </c>
      <c r="AG90" s="109"/>
      <c r="AH90" s="107">
        <v>88.447874326297196</v>
      </c>
      <c r="AI90" s="107"/>
      <c r="AJ90" s="107">
        <v>126.7</v>
      </c>
      <c r="AK90" s="109"/>
      <c r="AL90" s="27">
        <v>129.6</v>
      </c>
      <c r="AM90" s="109"/>
      <c r="AN90" s="107">
        <v>129.6</v>
      </c>
      <c r="AO90" s="109"/>
      <c r="AP90" s="107">
        <v>137.9</v>
      </c>
      <c r="AQ90" s="142"/>
      <c r="AR90" s="27">
        <v>153.6</v>
      </c>
      <c r="AS90" s="142"/>
      <c r="AT90" s="107">
        <v>153.6</v>
      </c>
      <c r="AU90" s="109"/>
      <c r="AV90" s="107">
        <v>0</v>
      </c>
      <c r="AW90" s="142"/>
      <c r="AX90" s="27">
        <v>0</v>
      </c>
      <c r="AY90" s="142"/>
      <c r="AZ90" s="107">
        <v>0</v>
      </c>
      <c r="BA90" s="109"/>
      <c r="BB90" s="107">
        <v>0</v>
      </c>
      <c r="BC90" s="142"/>
      <c r="BD90" s="27">
        <v>0</v>
      </c>
      <c r="BE90" s="142"/>
      <c r="BF90" s="107">
        <f t="shared" si="35"/>
        <v>0</v>
      </c>
      <c r="BG90" s="142"/>
      <c r="BH90" s="107">
        <v>0</v>
      </c>
      <c r="BI90" s="168"/>
      <c r="BJ90" s="27"/>
      <c r="BK90" s="142"/>
      <c r="BL90" s="107"/>
      <c r="BM90" s="142"/>
      <c r="BN90" s="107"/>
      <c r="BR90" s="142"/>
    </row>
    <row r="91" spans="1:70" s="7" customFormat="1" ht="11.25" x14ac:dyDescent="0.2">
      <c r="A91" s="142" t="s">
        <v>218</v>
      </c>
      <c r="B91" s="27"/>
      <c r="C91" s="109"/>
      <c r="D91" s="107">
        <f t="shared" si="33"/>
        <v>0</v>
      </c>
      <c r="E91" s="107"/>
      <c r="F91" s="107">
        <v>138.1063648613524</v>
      </c>
      <c r="G91" s="107"/>
      <c r="H91" s="27">
        <v>132</v>
      </c>
      <c r="I91" s="109"/>
      <c r="J91" s="107">
        <f t="shared" si="34"/>
        <v>132</v>
      </c>
      <c r="K91" s="107"/>
      <c r="L91" s="107">
        <v>131.19833950261994</v>
      </c>
      <c r="M91" s="107"/>
      <c r="N91" s="27">
        <v>111.66991121889936</v>
      </c>
      <c r="O91" s="109"/>
      <c r="P91" s="107">
        <v>111.66991121889936</v>
      </c>
      <c r="Q91" s="107"/>
      <c r="R91" s="107">
        <v>111.39223468321748</v>
      </c>
      <c r="S91" s="109"/>
      <c r="T91" s="27">
        <v>115.06800986309942</v>
      </c>
      <c r="U91" s="109"/>
      <c r="V91" s="107">
        <v>115.06800986309942</v>
      </c>
      <c r="W91" s="107"/>
      <c r="X91" s="107">
        <v>106.28350072038531</v>
      </c>
      <c r="Y91" s="109"/>
      <c r="Z91" s="27">
        <v>102.34595822856511</v>
      </c>
      <c r="AA91" s="109"/>
      <c r="AB91" s="107">
        <v>102.34595822856511</v>
      </c>
      <c r="AC91" s="107"/>
      <c r="AD91" s="107">
        <v>92.636651153333162</v>
      </c>
      <c r="AE91" s="109"/>
      <c r="AF91" s="27">
        <v>99.708617608638548</v>
      </c>
      <c r="AG91" s="109"/>
      <c r="AH91" s="107">
        <v>99.708617608638548</v>
      </c>
      <c r="AI91" s="107"/>
      <c r="AJ91" s="107">
        <v>92.3</v>
      </c>
      <c r="AK91" s="109"/>
      <c r="AL91" s="27">
        <v>97</v>
      </c>
      <c r="AM91" s="109"/>
      <c r="AN91" s="107">
        <v>97</v>
      </c>
      <c r="AO91" s="109"/>
      <c r="AP91" s="107">
        <v>84.4</v>
      </c>
      <c r="AQ91" s="142"/>
      <c r="AR91" s="27">
        <v>76.900000000000006</v>
      </c>
      <c r="AS91" s="142"/>
      <c r="AT91" s="107">
        <v>76.900000000000006</v>
      </c>
      <c r="AU91" s="109"/>
      <c r="AV91" s="107">
        <v>126.6</v>
      </c>
      <c r="AW91" s="142"/>
      <c r="AX91" s="27">
        <v>85.1</v>
      </c>
      <c r="AY91" s="142"/>
      <c r="AZ91" s="107">
        <v>85.1</v>
      </c>
      <c r="BA91" s="109"/>
      <c r="BB91" s="107">
        <f>BB92-SUM(BB88:BB90)</f>
        <v>124.21992824292647</v>
      </c>
      <c r="BC91" s="142"/>
      <c r="BD91" s="27">
        <f>BD92-SUM(BD88:BD90)</f>
        <v>182.12944387008338</v>
      </c>
      <c r="BE91" s="142"/>
      <c r="BF91" s="107">
        <f t="shared" si="35"/>
        <v>182.12944387008338</v>
      </c>
      <c r="BG91" s="142"/>
      <c r="BH91" s="107">
        <v>0</v>
      </c>
      <c r="BI91" s="168"/>
      <c r="BJ91" s="27"/>
      <c r="BK91" s="142"/>
      <c r="BL91" s="107"/>
      <c r="BM91" s="142"/>
      <c r="BN91" s="107"/>
      <c r="BR91" s="142"/>
    </row>
    <row r="92" spans="1:70" s="20" customFormat="1" ht="11.25" x14ac:dyDescent="0.2">
      <c r="A92" s="164" t="s">
        <v>348</v>
      </c>
      <c r="B92" s="165"/>
      <c r="C92" s="166"/>
      <c r="D92" s="166">
        <f>ROUND(D88,1)+ROUND(D89,1)+ROUND(D90,1)+ROUND(D91,1)</f>
        <v>0</v>
      </c>
      <c r="E92" s="166"/>
      <c r="F92" s="166">
        <v>7429.7033305483428</v>
      </c>
      <c r="G92" s="166"/>
      <c r="H92" s="165">
        <v>7464.5999999999995</v>
      </c>
      <c r="I92" s="166"/>
      <c r="J92" s="166">
        <f>ROUND(J88,1)+ROUND(J89,1)+ROUND(J90,1)+ROUND(J91,1)</f>
        <v>7464.5999999999995</v>
      </c>
      <c r="K92" s="166"/>
      <c r="L92" s="166">
        <v>7384.7975480901951</v>
      </c>
      <c r="M92" s="166"/>
      <c r="N92" s="165">
        <v>7757.9</v>
      </c>
      <c r="O92" s="166"/>
      <c r="P92" s="166">
        <v>7757.9</v>
      </c>
      <c r="Q92" s="166"/>
      <c r="R92" s="166">
        <v>7321.2</v>
      </c>
      <c r="S92" s="166"/>
      <c r="T92" s="165">
        <v>6842.3000000000011</v>
      </c>
      <c r="U92" s="166"/>
      <c r="V92" s="166">
        <v>6842.3000000000011</v>
      </c>
      <c r="W92" s="166"/>
      <c r="X92" s="166">
        <v>6497</v>
      </c>
      <c r="Y92" s="166"/>
      <c r="Z92" s="165">
        <v>6306.2000000000007</v>
      </c>
      <c r="AA92" s="166"/>
      <c r="AB92" s="166">
        <v>6306.2000000000007</v>
      </c>
      <c r="AC92" s="166"/>
      <c r="AD92" s="166">
        <v>5929.9000000000005</v>
      </c>
      <c r="AE92" s="166"/>
      <c r="AF92" s="165">
        <v>5918.4</v>
      </c>
      <c r="AG92" s="166"/>
      <c r="AH92" s="166">
        <v>5918.4</v>
      </c>
      <c r="AI92" s="166"/>
      <c r="AJ92" s="166">
        <v>5587.6</v>
      </c>
      <c r="AK92" s="166"/>
      <c r="AL92" s="165">
        <v>5526.4</v>
      </c>
      <c r="AM92" s="166"/>
      <c r="AN92" s="166">
        <v>5526.4</v>
      </c>
      <c r="AO92" s="166"/>
      <c r="AP92" s="166">
        <v>5107.2999999999993</v>
      </c>
      <c r="AQ92" s="166"/>
      <c r="AR92" s="165">
        <v>5128.3999999999996</v>
      </c>
      <c r="AS92" s="166"/>
      <c r="AT92" s="166">
        <v>5128.3999999999996</v>
      </c>
      <c r="AU92" s="166"/>
      <c r="AV92" s="166">
        <v>5089.5</v>
      </c>
      <c r="AW92" s="166"/>
      <c r="AX92" s="165">
        <v>5107.2000000000007</v>
      </c>
      <c r="AY92" s="166"/>
      <c r="AZ92" s="166">
        <v>5107.2000000000007</v>
      </c>
      <c r="BA92" s="166"/>
      <c r="BB92" s="166">
        <v>6754.3</v>
      </c>
      <c r="BC92" s="166"/>
      <c r="BD92" s="165">
        <v>5946.3</v>
      </c>
      <c r="BE92" s="166"/>
      <c r="BF92" s="166">
        <f>SUM(BF88:BF91)</f>
        <v>5946.3</v>
      </c>
      <c r="BG92" s="166"/>
      <c r="BH92" s="166">
        <f>SUM(BH88:BH91)</f>
        <v>696.5</v>
      </c>
      <c r="BJ92" s="165"/>
      <c r="BK92" s="166"/>
      <c r="BL92" s="166"/>
      <c r="BM92" s="166"/>
      <c r="BN92" s="166"/>
      <c r="BR92" s="150"/>
    </row>
    <row r="93" spans="1:70" s="7" customFormat="1" ht="11.25" x14ac:dyDescent="0.2">
      <c r="A93" s="142"/>
      <c r="B93" s="18"/>
      <c r="C93" s="107"/>
      <c r="D93" s="107"/>
      <c r="E93" s="107"/>
      <c r="F93" s="107"/>
      <c r="G93" s="107"/>
      <c r="H93" s="18"/>
      <c r="I93" s="107"/>
      <c r="J93" s="107"/>
      <c r="K93" s="107"/>
      <c r="L93" s="107"/>
      <c r="M93" s="107"/>
      <c r="N93" s="18"/>
      <c r="O93" s="107"/>
      <c r="P93" s="107"/>
      <c r="Q93" s="107"/>
      <c r="R93" s="107"/>
      <c r="S93" s="107"/>
      <c r="T93" s="18"/>
      <c r="U93" s="107"/>
      <c r="V93" s="107"/>
      <c r="W93" s="107"/>
      <c r="X93" s="107"/>
      <c r="Y93" s="107"/>
      <c r="Z93" s="18"/>
      <c r="AA93" s="107"/>
      <c r="AB93" s="107"/>
      <c r="AC93" s="107"/>
      <c r="AD93" s="107"/>
      <c r="AE93" s="107"/>
      <c r="AF93" s="18"/>
      <c r="AG93" s="107"/>
      <c r="AH93" s="107"/>
      <c r="AI93" s="107"/>
      <c r="AJ93" s="107"/>
      <c r="AK93" s="107"/>
      <c r="AL93" s="18"/>
      <c r="AM93" s="107"/>
      <c r="AN93" s="107"/>
      <c r="AO93" s="107"/>
      <c r="AP93" s="107"/>
      <c r="AQ93" s="107"/>
      <c r="AR93" s="18"/>
      <c r="AS93" s="107"/>
      <c r="AT93" s="107"/>
      <c r="AU93" s="107"/>
      <c r="AV93" s="107"/>
      <c r="AW93" s="107"/>
      <c r="AX93" s="18"/>
      <c r="AY93" s="107"/>
      <c r="AZ93" s="107"/>
      <c r="BA93" s="107"/>
      <c r="BB93" s="107"/>
      <c r="BC93" s="107"/>
      <c r="BD93" s="18"/>
      <c r="BE93" s="107"/>
      <c r="BF93" s="107"/>
      <c r="BG93" s="107"/>
      <c r="BH93" s="107"/>
      <c r="BJ93" s="18"/>
      <c r="BK93" s="107"/>
      <c r="BL93" s="107"/>
      <c r="BM93" s="107"/>
      <c r="BN93" s="107"/>
      <c r="BR93" s="142"/>
    </row>
    <row r="94" spans="1:70" s="7" customFormat="1" ht="11.25" x14ac:dyDescent="0.2">
      <c r="A94" s="142"/>
      <c r="B94" s="18"/>
      <c r="C94" s="142"/>
      <c r="D94" s="142"/>
      <c r="E94" s="142"/>
      <c r="F94" s="142"/>
      <c r="G94" s="142"/>
      <c r="H94" s="18"/>
      <c r="I94" s="142"/>
      <c r="J94" s="142"/>
      <c r="K94" s="142"/>
      <c r="L94" s="142"/>
      <c r="M94" s="142"/>
      <c r="N94" s="18"/>
      <c r="O94" s="142"/>
      <c r="P94" s="142"/>
      <c r="Q94" s="142"/>
      <c r="R94" s="142"/>
      <c r="S94" s="142"/>
      <c r="T94" s="18"/>
      <c r="U94" s="142"/>
      <c r="V94" s="142"/>
      <c r="W94" s="142"/>
      <c r="X94" s="142"/>
      <c r="Y94" s="142"/>
      <c r="Z94" s="18"/>
      <c r="AA94" s="142"/>
      <c r="AB94" s="142"/>
      <c r="AC94" s="142"/>
      <c r="AD94" s="142"/>
      <c r="AE94" s="142"/>
      <c r="AF94" s="18"/>
      <c r="AG94" s="142"/>
      <c r="AH94" s="142"/>
      <c r="AI94" s="142"/>
      <c r="AJ94" s="142"/>
      <c r="AK94" s="142"/>
      <c r="AL94" s="18"/>
      <c r="AM94" s="142"/>
      <c r="AN94" s="142"/>
      <c r="AO94" s="142"/>
      <c r="AP94" s="142"/>
      <c r="AQ94" s="142"/>
      <c r="AR94" s="18"/>
      <c r="AS94" s="142"/>
      <c r="AT94" s="142"/>
      <c r="AU94" s="142"/>
      <c r="AV94" s="142"/>
      <c r="AW94" s="142"/>
      <c r="AX94" s="18"/>
      <c r="AY94" s="142"/>
      <c r="AZ94" s="142"/>
      <c r="BA94" s="142"/>
      <c r="BB94" s="142"/>
      <c r="BC94" s="142"/>
      <c r="BD94" s="18"/>
      <c r="BE94" s="142"/>
      <c r="BF94" s="142"/>
      <c r="BG94" s="142"/>
      <c r="BH94" s="142"/>
      <c r="BJ94" s="18"/>
      <c r="BK94" s="142"/>
      <c r="BL94" s="142"/>
      <c r="BM94" s="142"/>
      <c r="BN94" s="142"/>
      <c r="BR94" s="142"/>
    </row>
    <row r="95" spans="1:70" s="7" customFormat="1" ht="11.25" x14ac:dyDescent="0.2">
      <c r="A95" s="149" t="s">
        <v>11</v>
      </c>
      <c r="B95" s="18"/>
      <c r="C95" s="142"/>
      <c r="D95" s="142"/>
      <c r="E95" s="142"/>
      <c r="F95" s="142"/>
      <c r="G95" s="142"/>
      <c r="H95" s="18"/>
      <c r="I95" s="142"/>
      <c r="J95" s="142"/>
      <c r="K95" s="142"/>
      <c r="L95" s="142"/>
      <c r="M95" s="142"/>
      <c r="N95" s="18"/>
      <c r="O95" s="142"/>
      <c r="P95" s="142"/>
      <c r="Q95" s="142"/>
      <c r="R95" s="142"/>
      <c r="S95" s="142"/>
      <c r="T95" s="18"/>
      <c r="U95" s="142"/>
      <c r="V95" s="142"/>
      <c r="W95" s="142"/>
      <c r="X95" s="142"/>
      <c r="Y95" s="142"/>
      <c r="Z95" s="18"/>
      <c r="AA95" s="142"/>
      <c r="AB95" s="142"/>
      <c r="AC95" s="142"/>
      <c r="AD95" s="142"/>
      <c r="AE95" s="142"/>
      <c r="AF95" s="18"/>
      <c r="AG95" s="142"/>
      <c r="AH95" s="142"/>
      <c r="AI95" s="142"/>
      <c r="AJ95" s="142"/>
      <c r="AK95" s="142"/>
      <c r="AL95" s="18"/>
      <c r="AM95" s="142"/>
      <c r="AN95" s="142"/>
      <c r="AO95" s="142"/>
      <c r="AP95" s="142"/>
      <c r="AQ95" s="142"/>
      <c r="AR95" s="18"/>
      <c r="AS95" s="142"/>
      <c r="AT95" s="142"/>
      <c r="AU95" s="142"/>
      <c r="AV95" s="142"/>
      <c r="AW95" s="142"/>
      <c r="AX95" s="18"/>
      <c r="AY95" s="142"/>
      <c r="AZ95" s="142"/>
      <c r="BA95" s="142"/>
      <c r="BB95" s="142"/>
      <c r="BC95" s="142"/>
      <c r="BD95" s="18"/>
      <c r="BE95" s="142"/>
      <c r="BF95" s="142"/>
      <c r="BG95" s="142"/>
      <c r="BH95" s="142"/>
      <c r="BJ95" s="18"/>
      <c r="BK95" s="142"/>
      <c r="BL95" s="142"/>
      <c r="BM95" s="142"/>
      <c r="BN95" s="142"/>
      <c r="BR95" s="142"/>
    </row>
    <row r="96" spans="1:70" s="7" customFormat="1" ht="11.25" x14ac:dyDescent="0.2">
      <c r="A96" s="142" t="s">
        <v>15</v>
      </c>
      <c r="B96" s="18"/>
      <c r="C96" s="142"/>
      <c r="D96" s="107">
        <f t="shared" ref="D96:D105" si="36">ROUND(B96,1)-ROUND(F96,1)</f>
        <v>-242.8</v>
      </c>
      <c r="E96" s="107"/>
      <c r="F96" s="107">
        <v>242.8</v>
      </c>
      <c r="G96" s="107"/>
      <c r="H96" s="18">
        <v>428.1</v>
      </c>
      <c r="I96" s="142"/>
      <c r="J96" s="107">
        <f t="shared" ref="J96:J105" si="37">ROUND(H96,1)-ROUND(L96,1)</f>
        <v>230.8</v>
      </c>
      <c r="K96" s="107"/>
      <c r="L96" s="107">
        <v>197.3</v>
      </c>
      <c r="M96" s="107"/>
      <c r="N96" s="18">
        <v>576.5</v>
      </c>
      <c r="O96" s="142"/>
      <c r="P96" s="107">
        <f t="shared" ref="P96:P105" si="38">ROUND(N96,1)-ROUND(R96,1)</f>
        <v>360.9</v>
      </c>
      <c r="Q96" s="107"/>
      <c r="R96" s="107">
        <v>215.60328910682603</v>
      </c>
      <c r="S96" s="142"/>
      <c r="T96" s="18">
        <v>519.38691403059522</v>
      </c>
      <c r="U96" s="142"/>
      <c r="V96" s="107">
        <v>326.32620308600292</v>
      </c>
      <c r="W96" s="107"/>
      <c r="X96" s="107">
        <v>193.0607109445923</v>
      </c>
      <c r="Y96" s="142"/>
      <c r="Z96" s="18">
        <v>461.5</v>
      </c>
      <c r="AA96" s="142"/>
      <c r="AB96" s="107">
        <v>291.39999999999998</v>
      </c>
      <c r="AC96" s="107"/>
      <c r="AD96" s="107">
        <v>170.1</v>
      </c>
      <c r="AE96" s="142"/>
      <c r="AF96" s="18">
        <v>599.10888800677264</v>
      </c>
      <c r="AG96" s="142"/>
      <c r="AH96" s="107">
        <v>384.70888800677267</v>
      </c>
      <c r="AI96" s="107"/>
      <c r="AJ96" s="107">
        <v>214.4</v>
      </c>
      <c r="AK96" s="142"/>
      <c r="AL96" s="18">
        <v>772.10000000000014</v>
      </c>
      <c r="AM96" s="142"/>
      <c r="AN96" s="107">
        <v>498.30000000000013</v>
      </c>
      <c r="AO96" s="142"/>
      <c r="AP96" s="107">
        <v>273.8</v>
      </c>
      <c r="AQ96" s="142"/>
      <c r="AR96" s="18">
        <v>648.29999999999995</v>
      </c>
      <c r="AS96" s="142"/>
      <c r="AT96" s="107">
        <v>418.19999999999993</v>
      </c>
      <c r="AU96" s="142"/>
      <c r="AV96" s="107">
        <v>230.1</v>
      </c>
      <c r="AW96" s="142"/>
      <c r="AX96" s="18">
        <v>575.70000000000005</v>
      </c>
      <c r="AY96" s="142"/>
      <c r="AZ96" s="107">
        <v>303.50000000000006</v>
      </c>
      <c r="BA96" s="142"/>
      <c r="BB96" s="107">
        <f>BB84</f>
        <v>272.2</v>
      </c>
      <c r="BC96" s="107"/>
      <c r="BD96" s="18">
        <f>BD84</f>
        <v>955.33675258975609</v>
      </c>
      <c r="BE96" s="107"/>
      <c r="BF96" s="107">
        <f>BD96-BH96</f>
        <v>705.33675258975609</v>
      </c>
      <c r="BG96" s="107"/>
      <c r="BH96" s="107">
        <f>BH84</f>
        <v>249.99999999999997</v>
      </c>
      <c r="BJ96" s="18"/>
      <c r="BK96" s="107"/>
      <c r="BL96" s="107"/>
      <c r="BM96" s="107"/>
      <c r="BN96" s="107"/>
      <c r="BR96" s="142"/>
    </row>
    <row r="97" spans="1:70" s="7" customFormat="1" ht="11.25" x14ac:dyDescent="0.2">
      <c r="A97" s="142" t="s">
        <v>16</v>
      </c>
      <c r="B97" s="18"/>
      <c r="C97" s="142"/>
      <c r="D97" s="107">
        <f t="shared" si="36"/>
        <v>49.9</v>
      </c>
      <c r="E97" s="107"/>
      <c r="F97" s="107">
        <v>-49.9</v>
      </c>
      <c r="G97" s="107"/>
      <c r="H97" s="18">
        <v>-50.2</v>
      </c>
      <c r="I97" s="142"/>
      <c r="J97" s="107">
        <f t="shared" si="37"/>
        <v>-25.800000000000004</v>
      </c>
      <c r="K97" s="107"/>
      <c r="L97" s="107">
        <v>-24.423304527602799</v>
      </c>
      <c r="M97" s="107"/>
      <c r="N97" s="18">
        <v>-68.829210904525098</v>
      </c>
      <c r="O97" s="142"/>
      <c r="P97" s="107">
        <f t="shared" si="38"/>
        <v>-39.799999999999997</v>
      </c>
      <c r="Q97" s="107"/>
      <c r="R97" s="107">
        <v>-29.015929276206901</v>
      </c>
      <c r="S97" s="142"/>
      <c r="T97" s="18">
        <v>-76.942557764821402</v>
      </c>
      <c r="U97" s="142"/>
      <c r="V97" s="107">
        <v>-33.973920011084303</v>
      </c>
      <c r="W97" s="107"/>
      <c r="X97" s="107">
        <v>-42.868637753737097</v>
      </c>
      <c r="Y97" s="142"/>
      <c r="Z97" s="18">
        <v>-71.2</v>
      </c>
      <c r="AA97" s="142"/>
      <c r="AB97" s="107">
        <v>-44.8</v>
      </c>
      <c r="AC97" s="107"/>
      <c r="AD97" s="107">
        <v>-26.4</v>
      </c>
      <c r="AE97" s="142"/>
      <c r="AF97" s="18">
        <v>-55.5</v>
      </c>
      <c r="AG97" s="142"/>
      <c r="AH97" s="148">
        <v>-28</v>
      </c>
      <c r="AI97" s="148"/>
      <c r="AJ97" s="148">
        <v>-27.5</v>
      </c>
      <c r="AK97" s="142"/>
      <c r="AL97" s="18">
        <v>-58.2</v>
      </c>
      <c r="AM97" s="142"/>
      <c r="AN97" s="148">
        <v>-28.400000000000002</v>
      </c>
      <c r="AO97" s="142"/>
      <c r="AP97" s="148">
        <v>-29.8</v>
      </c>
      <c r="AQ97" s="142"/>
      <c r="AR97" s="18">
        <v>-53</v>
      </c>
      <c r="AS97" s="142"/>
      <c r="AT97" s="148">
        <v>-21.8</v>
      </c>
      <c r="AU97" s="142"/>
      <c r="AV97" s="148">
        <v>-31.2</v>
      </c>
      <c r="AW97" s="142"/>
      <c r="AX97" s="18">
        <v>-107.6</v>
      </c>
      <c r="AY97" s="142"/>
      <c r="AZ97" s="148">
        <v>-48.29999999999999</v>
      </c>
      <c r="BA97" s="142"/>
      <c r="BB97" s="148">
        <v>-59.300000000000004</v>
      </c>
      <c r="BC97" s="142"/>
      <c r="BD97" s="18">
        <v>-80.600000000000009</v>
      </c>
      <c r="BE97" s="142"/>
      <c r="BF97" s="148">
        <f t="shared" ref="BF97:BF105" si="39">BD97-BH97</f>
        <v>-63.900000000000006</v>
      </c>
      <c r="BG97" s="142"/>
      <c r="BH97" s="148">
        <v>-16.7</v>
      </c>
      <c r="BI97" s="16"/>
      <c r="BJ97" s="18"/>
      <c r="BK97" s="142"/>
      <c r="BL97" s="148"/>
      <c r="BM97" s="142"/>
      <c r="BN97" s="148"/>
      <c r="BR97" s="142"/>
    </row>
    <row r="98" spans="1:70" s="7" customFormat="1" ht="11.25" x14ac:dyDescent="0.2">
      <c r="A98" s="142" t="s">
        <v>17</v>
      </c>
      <c r="B98" s="18"/>
      <c r="C98" s="142"/>
      <c r="D98" s="107">
        <f t="shared" si="36"/>
        <v>-192.9</v>
      </c>
      <c r="E98" s="107"/>
      <c r="F98" s="107">
        <v>192.9</v>
      </c>
      <c r="G98" s="107"/>
      <c r="H98" s="18">
        <v>377.90000000000003</v>
      </c>
      <c r="I98" s="142"/>
      <c r="J98" s="107">
        <f t="shared" si="37"/>
        <v>204.99999999999997</v>
      </c>
      <c r="K98" s="107"/>
      <c r="L98" s="107">
        <v>172.87669547239722</v>
      </c>
      <c r="M98" s="107"/>
      <c r="N98" s="18">
        <v>507.6707890954749</v>
      </c>
      <c r="O98" s="142"/>
      <c r="P98" s="107">
        <f t="shared" si="38"/>
        <v>321.10000000000002</v>
      </c>
      <c r="Q98" s="107"/>
      <c r="R98" s="107">
        <v>186.58735983061914</v>
      </c>
      <c r="S98" s="142"/>
      <c r="T98" s="18">
        <v>442.54435626577384</v>
      </c>
      <c r="U98" s="142"/>
      <c r="V98" s="107">
        <v>292.25228307491864</v>
      </c>
      <c r="W98" s="107"/>
      <c r="X98" s="107">
        <v>150.19207319085521</v>
      </c>
      <c r="Y98" s="142"/>
      <c r="Z98" s="18">
        <v>390.3</v>
      </c>
      <c r="AA98" s="142"/>
      <c r="AB98" s="107">
        <v>246.6</v>
      </c>
      <c r="AC98" s="107"/>
      <c r="AD98" s="107">
        <v>143.69999999999999</v>
      </c>
      <c r="AE98" s="142"/>
      <c r="AF98" s="18">
        <v>543.60888800677264</v>
      </c>
      <c r="AG98" s="142"/>
      <c r="AH98" s="107">
        <v>356.70888800677267</v>
      </c>
      <c r="AI98" s="107"/>
      <c r="AJ98" s="107">
        <v>186.9</v>
      </c>
      <c r="AK98" s="142"/>
      <c r="AL98" s="18">
        <v>713.90000000000009</v>
      </c>
      <c r="AM98" s="142"/>
      <c r="AN98" s="107">
        <v>469.90000000000009</v>
      </c>
      <c r="AO98" s="142"/>
      <c r="AP98" s="107">
        <v>244</v>
      </c>
      <c r="AQ98" s="142"/>
      <c r="AR98" s="18">
        <v>595.29999999999995</v>
      </c>
      <c r="AS98" s="142"/>
      <c r="AT98" s="107">
        <v>396.4</v>
      </c>
      <c r="AU98" s="142"/>
      <c r="AV98" s="107">
        <v>198.9</v>
      </c>
      <c r="AW98" s="142"/>
      <c r="AX98" s="18">
        <v>468.1</v>
      </c>
      <c r="AY98" s="142"/>
      <c r="AZ98" s="107">
        <v>255.20000000000005</v>
      </c>
      <c r="BA98" s="142"/>
      <c r="BB98" s="107">
        <f>SUM(BB96:BB97)</f>
        <v>212.89999999999998</v>
      </c>
      <c r="BC98" s="107"/>
      <c r="BD98" s="18">
        <f>SUM(BD96:BD97)</f>
        <v>874.73675258975607</v>
      </c>
      <c r="BE98" s="107"/>
      <c r="BF98" s="107">
        <f t="shared" si="39"/>
        <v>641.43675258975611</v>
      </c>
      <c r="BG98" s="107"/>
      <c r="BH98" s="107">
        <f>SUM(BH96:BH97)</f>
        <v>233.29999999999998</v>
      </c>
      <c r="BJ98" s="18"/>
      <c r="BK98" s="107"/>
      <c r="BL98" s="107"/>
      <c r="BM98" s="107"/>
      <c r="BN98" s="107"/>
      <c r="BR98" s="142"/>
    </row>
    <row r="99" spans="1:70" s="7" customFormat="1" ht="11.25" x14ac:dyDescent="0.2">
      <c r="A99" s="142" t="s">
        <v>18</v>
      </c>
      <c r="B99" s="18"/>
      <c r="C99" s="142"/>
      <c r="D99" s="107">
        <f t="shared" si="36"/>
        <v>39.700000000000003</v>
      </c>
      <c r="E99" s="107"/>
      <c r="F99" s="107">
        <v>-39.700000000000003</v>
      </c>
      <c r="G99" s="107"/>
      <c r="H99" s="18">
        <v>-81.400000000000006</v>
      </c>
      <c r="I99" s="142"/>
      <c r="J99" s="107">
        <f t="shared" si="37"/>
        <v>-46.000000000000007</v>
      </c>
      <c r="K99" s="107"/>
      <c r="L99" s="107">
        <v>-35.365123762234298</v>
      </c>
      <c r="M99" s="107"/>
      <c r="N99" s="18">
        <v>-108.76081102625001</v>
      </c>
      <c r="O99" s="142"/>
      <c r="P99" s="107">
        <f t="shared" si="38"/>
        <v>-68.699999999999989</v>
      </c>
      <c r="Q99" s="107"/>
      <c r="R99" s="107">
        <v>-40.095002337674501</v>
      </c>
      <c r="S99" s="142"/>
      <c r="T99" s="18">
        <v>-85.066682777233893</v>
      </c>
      <c r="U99" s="142"/>
      <c r="V99" s="107">
        <v>-50.590811921653092</v>
      </c>
      <c r="W99" s="107"/>
      <c r="X99" s="107">
        <v>-34.475870855580801</v>
      </c>
      <c r="Y99" s="142"/>
      <c r="Z99" s="18">
        <v>-96.2</v>
      </c>
      <c r="AA99" s="142"/>
      <c r="AB99" s="107">
        <v>-60.4</v>
      </c>
      <c r="AC99" s="107"/>
      <c r="AD99" s="107">
        <v>-35.799999999999997</v>
      </c>
      <c r="AE99" s="142"/>
      <c r="AF99" s="18">
        <v>-141.6</v>
      </c>
      <c r="AG99" s="142"/>
      <c r="AH99" s="107">
        <v>-94.5</v>
      </c>
      <c r="AI99" s="107"/>
      <c r="AJ99" s="107">
        <v>-47.1</v>
      </c>
      <c r="AK99" s="142"/>
      <c r="AL99" s="18">
        <v>-179.7</v>
      </c>
      <c r="AM99" s="142"/>
      <c r="AN99" s="107">
        <v>-115.19999999999999</v>
      </c>
      <c r="AO99" s="142"/>
      <c r="AP99" s="107">
        <v>-64.5</v>
      </c>
      <c r="AQ99" s="142"/>
      <c r="AR99" s="18">
        <v>-150.80000000000001</v>
      </c>
      <c r="AS99" s="142"/>
      <c r="AT99" s="107">
        <v>-98.100000000000023</v>
      </c>
      <c r="AU99" s="142"/>
      <c r="AV99" s="107">
        <v>-52.699999999999996</v>
      </c>
      <c r="AW99" s="142"/>
      <c r="AX99" s="18">
        <v>-120.30000000000001</v>
      </c>
      <c r="AY99" s="142"/>
      <c r="AZ99" s="107">
        <v>-77.200000000000017</v>
      </c>
      <c r="BA99" s="142"/>
      <c r="BB99" s="107">
        <v>-43.099999999999994</v>
      </c>
      <c r="BC99" s="143"/>
      <c r="BD99" s="18">
        <v>-227.20000000000002</v>
      </c>
      <c r="BE99" s="107"/>
      <c r="BF99" s="107">
        <f t="shared" si="39"/>
        <v>-165</v>
      </c>
      <c r="BG99" s="107"/>
      <c r="BH99" s="107">
        <v>-62.2</v>
      </c>
      <c r="BI99" s="13"/>
      <c r="BJ99" s="18"/>
      <c r="BK99" s="107"/>
      <c r="BL99" s="107"/>
      <c r="BM99" s="107"/>
      <c r="BN99" s="107"/>
      <c r="BR99" s="142"/>
    </row>
    <row r="100" spans="1:70" x14ac:dyDescent="0.2">
      <c r="A100" s="142" t="s">
        <v>3031</v>
      </c>
      <c r="B100" s="18"/>
      <c r="C100" s="142"/>
      <c r="D100" s="107">
        <f t="shared" si="36"/>
        <v>-153.19999999999999</v>
      </c>
      <c r="E100" s="107"/>
      <c r="F100" s="107">
        <v>153.19999999999999</v>
      </c>
      <c r="G100" s="107"/>
      <c r="H100" s="18">
        <v>296.5</v>
      </c>
      <c r="I100" s="142"/>
      <c r="J100" s="107">
        <f t="shared" si="37"/>
        <v>159</v>
      </c>
      <c r="K100" s="107"/>
      <c r="L100" s="107">
        <v>137.51157171016291</v>
      </c>
      <c r="M100" s="107"/>
      <c r="N100" s="18">
        <v>398.90997806922491</v>
      </c>
      <c r="O100" s="142"/>
      <c r="P100" s="107">
        <f t="shared" si="38"/>
        <v>252.39999999999998</v>
      </c>
      <c r="Q100" s="107"/>
      <c r="R100" s="107">
        <v>146.49235749294462</v>
      </c>
      <c r="S100" s="142"/>
      <c r="T100" s="18">
        <v>357.37767348853993</v>
      </c>
      <c r="U100" s="142"/>
      <c r="V100" s="107">
        <v>241.66147115326552</v>
      </c>
      <c r="W100" s="107"/>
      <c r="X100" s="107">
        <v>115.7162023352744</v>
      </c>
      <c r="Y100" s="142"/>
      <c r="Z100" s="18">
        <v>294.10000000000002</v>
      </c>
      <c r="AA100" s="142"/>
      <c r="AB100" s="107">
        <v>186.2</v>
      </c>
      <c r="AC100" s="107"/>
      <c r="AD100" s="107">
        <v>107.9</v>
      </c>
      <c r="AE100" s="142"/>
      <c r="AF100" s="18">
        <v>402.00888800677262</v>
      </c>
      <c r="AG100" s="142"/>
      <c r="AH100" s="107">
        <v>262.20888800677261</v>
      </c>
      <c r="AI100" s="107"/>
      <c r="AJ100" s="107">
        <v>139.80000000000001</v>
      </c>
      <c r="AK100" s="142"/>
      <c r="AL100" s="18">
        <v>534.20000000000005</v>
      </c>
      <c r="AM100" s="142"/>
      <c r="AN100" s="107">
        <v>354.70000000000005</v>
      </c>
      <c r="AO100" s="142"/>
      <c r="AP100" s="107">
        <v>179.5</v>
      </c>
      <c r="AQ100" s="142"/>
      <c r="AR100" s="18">
        <v>444.49999999999994</v>
      </c>
      <c r="AS100" s="142"/>
      <c r="AT100" s="107">
        <v>298.29999999999995</v>
      </c>
      <c r="AU100" s="142"/>
      <c r="AV100" s="107">
        <v>146.20000000000002</v>
      </c>
      <c r="AW100" s="142"/>
      <c r="AX100" s="18">
        <v>347.8</v>
      </c>
      <c r="AY100" s="142"/>
      <c r="AZ100" s="107">
        <v>178.00000000000003</v>
      </c>
      <c r="BA100" s="142"/>
      <c r="BB100" s="107">
        <f>SUM(BB98:BB99)</f>
        <v>169.79999999999998</v>
      </c>
      <c r="BC100" s="142"/>
      <c r="BD100" s="18">
        <f>SUM(BD98:BD99)</f>
        <v>647.53675258975602</v>
      </c>
      <c r="BE100" s="142"/>
      <c r="BF100" s="107">
        <f t="shared" si="39"/>
        <v>476.43675258975605</v>
      </c>
      <c r="BG100" s="142"/>
      <c r="BH100" s="107">
        <f>SUM(BH98:BH99)</f>
        <v>171.09999999999997</v>
      </c>
      <c r="BI100" s="17"/>
      <c r="BJ100" s="18">
        <v>202.5</v>
      </c>
      <c r="BK100" s="142"/>
      <c r="BL100" s="107">
        <f>BJ100-BN100</f>
        <v>152.9</v>
      </c>
      <c r="BM100" s="142"/>
      <c r="BN100" s="107">
        <v>49.6</v>
      </c>
      <c r="BR100" s="110"/>
    </row>
    <row r="101" spans="1:70" x14ac:dyDescent="0.2">
      <c r="A101" s="142" t="s">
        <v>3032</v>
      </c>
      <c r="B101" s="18"/>
      <c r="C101" s="142"/>
      <c r="D101" s="107">
        <f t="shared" si="36"/>
        <v>0</v>
      </c>
      <c r="E101" s="107"/>
      <c r="F101" s="107">
        <v>0</v>
      </c>
      <c r="G101" s="107"/>
      <c r="H101" s="18">
        <v>-241.3</v>
      </c>
      <c r="I101" s="142"/>
      <c r="J101" s="107">
        <f t="shared" si="37"/>
        <v>-90.5</v>
      </c>
      <c r="K101" s="107"/>
      <c r="L101" s="107">
        <v>-150.80000000000001</v>
      </c>
      <c r="M101" s="107"/>
      <c r="N101" s="18">
        <v>0</v>
      </c>
      <c r="O101" s="142"/>
      <c r="P101" s="107">
        <f t="shared" si="38"/>
        <v>0</v>
      </c>
      <c r="Q101" s="107"/>
      <c r="R101" s="107">
        <v>0</v>
      </c>
      <c r="S101" s="142"/>
      <c r="T101" s="18">
        <v>-130.79999999999998</v>
      </c>
      <c r="U101" s="142"/>
      <c r="V101" s="107">
        <v>-130.79999999999998</v>
      </c>
      <c r="W101" s="107"/>
      <c r="X101" s="107">
        <v>0</v>
      </c>
      <c r="Y101" s="142"/>
      <c r="Z101" s="18">
        <v>-41.463773200747106</v>
      </c>
      <c r="AA101" s="142"/>
      <c r="AB101" s="107">
        <v>-41.463773200747106</v>
      </c>
      <c r="AC101" s="107"/>
      <c r="AD101" s="107">
        <v>0</v>
      </c>
      <c r="AE101" s="142"/>
      <c r="AF101" s="18">
        <v>168.08254332013232</v>
      </c>
      <c r="AG101" s="142"/>
      <c r="AH101" s="107">
        <v>168.08254332013232</v>
      </c>
      <c r="AI101" s="107"/>
      <c r="AJ101" s="107">
        <v>0</v>
      </c>
      <c r="AK101" s="142"/>
      <c r="AL101" s="18">
        <v>-92.5</v>
      </c>
      <c r="AM101" s="142"/>
      <c r="AN101" s="107">
        <v>-73.3</v>
      </c>
      <c r="AO101" s="142"/>
      <c r="AP101" s="107">
        <v>-19.2</v>
      </c>
      <c r="AQ101" s="142"/>
      <c r="AR101" s="18">
        <v>-55.4</v>
      </c>
      <c r="AS101" s="142"/>
      <c r="AT101" s="107">
        <v>-34.9</v>
      </c>
      <c r="AU101" s="142"/>
      <c r="AV101" s="107">
        <v>-20.5</v>
      </c>
      <c r="AW101" s="142"/>
      <c r="AX101" s="18">
        <v>-782.7</v>
      </c>
      <c r="AY101" s="142"/>
      <c r="AZ101" s="107">
        <v>-681.6</v>
      </c>
      <c r="BA101" s="142"/>
      <c r="BB101" s="107">
        <v>-101.1</v>
      </c>
      <c r="BC101" s="107"/>
      <c r="BD101" s="18">
        <v>-38.200000000000003</v>
      </c>
      <c r="BE101" s="107"/>
      <c r="BF101" s="107">
        <f t="shared" si="39"/>
        <v>-36.300000000000004</v>
      </c>
      <c r="BG101" s="107"/>
      <c r="BH101" s="107">
        <v>-1.9</v>
      </c>
      <c r="BJ101" s="18"/>
      <c r="BK101" s="107"/>
      <c r="BL101" s="107"/>
      <c r="BM101" s="107"/>
      <c r="BN101" s="107"/>
      <c r="BR101" s="110"/>
    </row>
    <row r="102" spans="1:70" x14ac:dyDescent="0.2">
      <c r="A102" s="142" t="s">
        <v>3049</v>
      </c>
      <c r="B102" s="18"/>
      <c r="C102" s="142"/>
      <c r="D102" s="107">
        <f t="shared" si="36"/>
        <v>0</v>
      </c>
      <c r="E102" s="107"/>
      <c r="F102" s="107">
        <v>0</v>
      </c>
      <c r="G102" s="107"/>
      <c r="H102" s="18">
        <v>74.2</v>
      </c>
      <c r="I102" s="142"/>
      <c r="J102" s="107">
        <f t="shared" si="37"/>
        <v>29</v>
      </c>
      <c r="K102" s="107"/>
      <c r="L102" s="107">
        <v>45.2</v>
      </c>
      <c r="M102" s="107"/>
      <c r="N102" s="18">
        <v>0</v>
      </c>
      <c r="O102" s="142"/>
      <c r="P102" s="107">
        <f t="shared" si="38"/>
        <v>0</v>
      </c>
      <c r="Q102" s="107"/>
      <c r="R102" s="107">
        <v>0</v>
      </c>
      <c r="S102" s="142"/>
      <c r="T102" s="18">
        <v>21.556000000000001</v>
      </c>
      <c r="U102" s="142"/>
      <c r="V102" s="107">
        <v>21.556000000000001</v>
      </c>
      <c r="W102" s="107"/>
      <c r="X102" s="107">
        <v>0</v>
      </c>
      <c r="Y102" s="142"/>
      <c r="Z102" s="18">
        <v>115.1</v>
      </c>
      <c r="AA102" s="142"/>
      <c r="AB102" s="107">
        <v>115.1</v>
      </c>
      <c r="AC102" s="107"/>
      <c r="AD102" s="107">
        <v>0</v>
      </c>
      <c r="AE102" s="142"/>
      <c r="AF102" s="18">
        <v>-62.068586579770361</v>
      </c>
      <c r="AG102" s="142"/>
      <c r="AH102" s="107">
        <v>-62.068586579770361</v>
      </c>
      <c r="AI102" s="107"/>
      <c r="AJ102" s="107">
        <v>0</v>
      </c>
      <c r="AK102" s="142"/>
      <c r="AL102" s="18">
        <v>25.6</v>
      </c>
      <c r="AM102" s="142"/>
      <c r="AN102" s="107">
        <v>19.400000000000002</v>
      </c>
      <c r="AO102" s="142"/>
      <c r="AP102" s="107">
        <v>6.2</v>
      </c>
      <c r="AQ102" s="142"/>
      <c r="AR102" s="18">
        <v>23.1</v>
      </c>
      <c r="AS102" s="142"/>
      <c r="AT102" s="107">
        <v>16.700000000000003</v>
      </c>
      <c r="AU102" s="142"/>
      <c r="AV102" s="107">
        <v>6.4</v>
      </c>
      <c r="AW102" s="142"/>
      <c r="AX102" s="18">
        <v>213.5</v>
      </c>
      <c r="AY102" s="142"/>
      <c r="AZ102" s="107">
        <v>182.6</v>
      </c>
      <c r="BA102" s="142"/>
      <c r="BB102" s="107">
        <v>30.9</v>
      </c>
      <c r="BC102" s="142"/>
      <c r="BD102" s="18">
        <v>-4.7</v>
      </c>
      <c r="BE102" s="142"/>
      <c r="BF102" s="107">
        <f t="shared" si="39"/>
        <v>-5.3</v>
      </c>
      <c r="BG102" s="142"/>
      <c r="BH102" s="107">
        <v>0.6</v>
      </c>
      <c r="BI102" s="13"/>
      <c r="BJ102" s="18"/>
      <c r="BK102" s="142"/>
      <c r="BL102" s="107"/>
      <c r="BM102" s="142"/>
      <c r="BN102" s="107"/>
      <c r="BR102" s="110"/>
    </row>
    <row r="103" spans="1:70" s="553" customFormat="1" x14ac:dyDescent="0.2">
      <c r="A103" s="164" t="s">
        <v>3033</v>
      </c>
      <c r="B103" s="170"/>
      <c r="C103" s="169"/>
      <c r="D103" s="171">
        <f t="shared" si="36"/>
        <v>-153.19999999999999</v>
      </c>
      <c r="E103" s="171"/>
      <c r="F103" s="171">
        <f>SUM(F100:F102)</f>
        <v>153.19999999999999</v>
      </c>
      <c r="G103" s="171"/>
      <c r="H103" s="170">
        <v>129.39999999999998</v>
      </c>
      <c r="I103" s="169"/>
      <c r="J103" s="171">
        <f t="shared" si="37"/>
        <v>97.5</v>
      </c>
      <c r="K103" s="171"/>
      <c r="L103" s="171">
        <v>31.911571710162903</v>
      </c>
      <c r="M103" s="171"/>
      <c r="N103" s="170">
        <v>398.90997806922491</v>
      </c>
      <c r="O103" s="169"/>
      <c r="P103" s="171">
        <f t="shared" si="38"/>
        <v>252.39999999999998</v>
      </c>
      <c r="Q103" s="171"/>
      <c r="R103" s="171">
        <v>146.49235749294462</v>
      </c>
      <c r="S103" s="169"/>
      <c r="T103" s="170">
        <v>248.23367348853995</v>
      </c>
      <c r="U103" s="169"/>
      <c r="V103" s="171">
        <v>132.51747115326555</v>
      </c>
      <c r="W103" s="171"/>
      <c r="X103" s="171">
        <v>115.7162023352744</v>
      </c>
      <c r="Y103" s="169"/>
      <c r="Z103" s="170">
        <v>367.7</v>
      </c>
      <c r="AA103" s="169"/>
      <c r="AB103" s="171">
        <v>259.8</v>
      </c>
      <c r="AC103" s="171"/>
      <c r="AD103" s="171">
        <v>107.9</v>
      </c>
      <c r="AE103" s="169"/>
      <c r="AF103" s="170">
        <v>508.02284474713463</v>
      </c>
      <c r="AG103" s="169"/>
      <c r="AH103" s="171">
        <v>368.22284474713462</v>
      </c>
      <c r="AI103" s="171"/>
      <c r="AJ103" s="171">
        <v>139.80000000000001</v>
      </c>
      <c r="AK103" s="169"/>
      <c r="AL103" s="170">
        <v>467.30000000000007</v>
      </c>
      <c r="AM103" s="169"/>
      <c r="AN103" s="171">
        <v>300.80000000000007</v>
      </c>
      <c r="AO103" s="169"/>
      <c r="AP103" s="171">
        <v>166.5</v>
      </c>
      <c r="AQ103" s="169"/>
      <c r="AR103" s="170">
        <v>412.2</v>
      </c>
      <c r="AS103" s="169"/>
      <c r="AT103" s="171">
        <v>280.09999999999997</v>
      </c>
      <c r="AU103" s="169"/>
      <c r="AV103" s="171">
        <v>132.10000000000002</v>
      </c>
      <c r="AW103" s="169"/>
      <c r="AX103" s="170">
        <v>-221.40000000000003</v>
      </c>
      <c r="AY103" s="169"/>
      <c r="AZ103" s="171">
        <v>-321</v>
      </c>
      <c r="BA103" s="169"/>
      <c r="BB103" s="171">
        <f>SUM(BB100:BB102)</f>
        <v>99.6</v>
      </c>
      <c r="BC103" s="169"/>
      <c r="BD103" s="170">
        <f>SUM(BD100:BD102)</f>
        <v>604.63675258975593</v>
      </c>
      <c r="BE103" s="169"/>
      <c r="BF103" s="171">
        <f t="shared" si="39"/>
        <v>434.83675258975597</v>
      </c>
      <c r="BG103" s="169"/>
      <c r="BH103" s="171">
        <f>SUM(BH100:BH102)</f>
        <v>169.79999999999995</v>
      </c>
      <c r="BJ103" s="170">
        <v>205.3</v>
      </c>
      <c r="BK103" s="169"/>
      <c r="BL103" s="171">
        <f>BJ103-BN103</f>
        <v>148.20000000000002</v>
      </c>
      <c r="BM103" s="169"/>
      <c r="BN103" s="171">
        <v>57.1</v>
      </c>
      <c r="BR103" s="558"/>
    </row>
    <row r="104" spans="1:70" x14ac:dyDescent="0.2">
      <c r="A104" s="142" t="s">
        <v>61</v>
      </c>
      <c r="B104" s="18"/>
      <c r="C104" s="142"/>
      <c r="D104" s="107">
        <f t="shared" si="36"/>
        <v>-152.1</v>
      </c>
      <c r="E104" s="107"/>
      <c r="F104" s="107">
        <v>152.1</v>
      </c>
      <c r="G104" s="107"/>
      <c r="H104" s="18">
        <v>128.1</v>
      </c>
      <c r="I104" s="142"/>
      <c r="J104" s="107">
        <f t="shared" si="37"/>
        <v>96.6</v>
      </c>
      <c r="K104" s="107"/>
      <c r="L104" s="107">
        <v>31.5</v>
      </c>
      <c r="M104" s="107"/>
      <c r="N104" s="18">
        <v>398.5601270907685</v>
      </c>
      <c r="O104" s="142"/>
      <c r="P104" s="107">
        <f t="shared" si="38"/>
        <v>252.20000000000002</v>
      </c>
      <c r="Q104" s="107"/>
      <c r="R104" s="107">
        <v>146.37519610578428</v>
      </c>
      <c r="S104" s="142"/>
      <c r="T104" s="18">
        <v>247.05377740503917</v>
      </c>
      <c r="U104" s="142"/>
      <c r="V104" s="107">
        <v>131.42602903993517</v>
      </c>
      <c r="W104" s="107"/>
      <c r="X104" s="107">
        <v>115.72774836510401</v>
      </c>
      <c r="Y104" s="142"/>
      <c r="Z104" s="18">
        <v>367.1</v>
      </c>
      <c r="AA104" s="142"/>
      <c r="AB104" s="107">
        <v>259.3</v>
      </c>
      <c r="AC104" s="107"/>
      <c r="AD104" s="107">
        <v>107.8</v>
      </c>
      <c r="AE104" s="142"/>
      <c r="AF104" s="18">
        <v>510.70747211888335</v>
      </c>
      <c r="AG104" s="142"/>
      <c r="AH104" s="107">
        <v>367.20747211888335</v>
      </c>
      <c r="AI104" s="107"/>
      <c r="AJ104" s="107">
        <v>143.5</v>
      </c>
      <c r="AK104" s="142"/>
      <c r="AL104" s="18">
        <v>463.2</v>
      </c>
      <c r="AM104" s="142"/>
      <c r="AN104" s="107">
        <v>297.60000000000002</v>
      </c>
      <c r="AO104" s="142"/>
      <c r="AP104" s="107">
        <v>165.6</v>
      </c>
      <c r="AQ104" s="142"/>
      <c r="AR104" s="18">
        <v>410.5</v>
      </c>
      <c r="AS104" s="142"/>
      <c r="AT104" s="107">
        <v>278.10000000000002</v>
      </c>
      <c r="AU104" s="142"/>
      <c r="AV104" s="107">
        <v>132.4</v>
      </c>
      <c r="AW104" s="142"/>
      <c r="AX104" s="18">
        <v>-221.40000000000003</v>
      </c>
      <c r="AY104" s="142"/>
      <c r="AZ104" s="107">
        <v>-321</v>
      </c>
      <c r="BA104" s="142"/>
      <c r="BB104" s="107">
        <f>BB103</f>
        <v>99.6</v>
      </c>
      <c r="BC104" s="142"/>
      <c r="BD104" s="18">
        <f>BD103</f>
        <v>604.63675258975593</v>
      </c>
      <c r="BE104" s="142"/>
      <c r="BF104" s="107">
        <f t="shared" si="39"/>
        <v>434.83675258975597</v>
      </c>
      <c r="BG104" s="142"/>
      <c r="BH104" s="107">
        <f>BH103</f>
        <v>169.79999999999995</v>
      </c>
      <c r="BJ104" s="18"/>
      <c r="BK104" s="142"/>
      <c r="BL104" s="107"/>
      <c r="BM104" s="142"/>
      <c r="BN104" s="107"/>
      <c r="BR104" s="110"/>
    </row>
    <row r="105" spans="1:70" x14ac:dyDescent="0.2">
      <c r="A105" s="142" t="s">
        <v>62</v>
      </c>
      <c r="B105" s="18"/>
      <c r="C105" s="142"/>
      <c r="D105" s="107">
        <f t="shared" si="36"/>
        <v>-1.1000000000000001</v>
      </c>
      <c r="E105" s="107"/>
      <c r="F105" s="107">
        <v>1.1000000000000001</v>
      </c>
      <c r="G105" s="107"/>
      <c r="H105" s="18">
        <v>1.3</v>
      </c>
      <c r="I105" s="142"/>
      <c r="J105" s="107">
        <f t="shared" si="37"/>
        <v>0.9</v>
      </c>
      <c r="K105" s="107"/>
      <c r="L105" s="107">
        <v>0.39371422804615402</v>
      </c>
      <c r="M105" s="107"/>
      <c r="N105" s="18">
        <v>0.32026803369288598</v>
      </c>
      <c r="O105" s="142"/>
      <c r="P105" s="107">
        <f t="shared" si="38"/>
        <v>0.19999999999999998</v>
      </c>
      <c r="Q105" s="107"/>
      <c r="R105" s="107">
        <v>0.117161387160351</v>
      </c>
      <c r="S105" s="142"/>
      <c r="T105" s="18">
        <v>1.0990468362680899</v>
      </c>
      <c r="U105" s="142"/>
      <c r="V105" s="107">
        <v>1.0990468362680899</v>
      </c>
      <c r="W105" s="107"/>
      <c r="X105" s="107">
        <v>0</v>
      </c>
      <c r="Y105" s="142"/>
      <c r="Z105" s="18">
        <v>0.57735616728244998</v>
      </c>
      <c r="AA105" s="142"/>
      <c r="AB105" s="107">
        <v>0.5</v>
      </c>
      <c r="AC105" s="107"/>
      <c r="AD105" s="107">
        <v>0.14580784228374499</v>
      </c>
      <c r="AE105" s="142"/>
      <c r="AF105" s="18">
        <v>-2.72814540889624</v>
      </c>
      <c r="AG105" s="142"/>
      <c r="AH105" s="107">
        <v>0.97185459110376016</v>
      </c>
      <c r="AI105" s="107"/>
      <c r="AJ105" s="107">
        <v>-3.7</v>
      </c>
      <c r="AK105" s="142"/>
      <c r="AL105" s="18">
        <v>4.0999999999999996</v>
      </c>
      <c r="AM105" s="142"/>
      <c r="AN105" s="107">
        <v>3.1999999999999997</v>
      </c>
      <c r="AO105" s="142"/>
      <c r="AP105" s="107">
        <v>0.9</v>
      </c>
      <c r="AQ105" s="142"/>
      <c r="AR105" s="18">
        <v>1.7</v>
      </c>
      <c r="AS105" s="142"/>
      <c r="AT105" s="107">
        <v>2</v>
      </c>
      <c r="AU105" s="142"/>
      <c r="AV105" s="107">
        <v>-0.3</v>
      </c>
      <c r="AW105" s="142"/>
      <c r="AX105" s="18">
        <v>0</v>
      </c>
      <c r="AY105" s="142"/>
      <c r="AZ105" s="107">
        <v>0</v>
      </c>
      <c r="BA105" s="142"/>
      <c r="BB105" s="107">
        <v>0</v>
      </c>
      <c r="BC105" s="142"/>
      <c r="BD105" s="18">
        <v>0</v>
      </c>
      <c r="BE105" s="142"/>
      <c r="BF105" s="107">
        <f t="shared" si="39"/>
        <v>0</v>
      </c>
      <c r="BG105" s="142"/>
      <c r="BH105" s="107">
        <v>0</v>
      </c>
      <c r="BJ105" s="18"/>
      <c r="BK105" s="142"/>
      <c r="BL105" s="107"/>
      <c r="BM105" s="142"/>
      <c r="BN105" s="107"/>
      <c r="BR105" s="110"/>
    </row>
    <row r="106" spans="1:70" ht="12.75" hidden="1" customHeight="1" outlineLevel="1" x14ac:dyDescent="0.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J106" s="142"/>
      <c r="BK106" s="142"/>
      <c r="BL106" s="142"/>
      <c r="BM106" s="142"/>
      <c r="BN106" s="142"/>
      <c r="BR106" s="110"/>
    </row>
    <row r="107" spans="1:70" ht="12.75" hidden="1" customHeight="1" outlineLevel="1" x14ac:dyDescent="0.2">
      <c r="A107" s="142" t="s">
        <v>19</v>
      </c>
      <c r="B107" s="107">
        <f>B28-B108</f>
        <v>-1298.0999999999999</v>
      </c>
      <c r="C107" s="142"/>
      <c r="D107" s="107" t="e">
        <f>B107-F107</f>
        <v>#REF!</v>
      </c>
      <c r="E107" s="142"/>
      <c r="F107" s="107" t="e">
        <f>B107-L107</f>
        <v>#REF!</v>
      </c>
      <c r="G107" s="142"/>
      <c r="H107" s="107">
        <f>H28-H108</f>
        <v>2055.5690366017834</v>
      </c>
      <c r="I107" s="142"/>
      <c r="J107" s="107" t="e">
        <f>H107-L107</f>
        <v>#REF!</v>
      </c>
      <c r="K107" s="142"/>
      <c r="L107" s="107" t="e">
        <f>H107-R107</f>
        <v>#REF!</v>
      </c>
      <c r="M107" s="142"/>
      <c r="N107" s="107">
        <v>2345.2448146780698</v>
      </c>
      <c r="O107" s="142"/>
      <c r="P107" s="107" t="e">
        <f>N107-R107</f>
        <v>#REF!</v>
      </c>
      <c r="Q107" s="142"/>
      <c r="R107" s="107" t="e">
        <v>#REF!</v>
      </c>
      <c r="S107" s="142"/>
      <c r="T107" s="107">
        <f>T28-T108</f>
        <v>2053.864101307086</v>
      </c>
      <c r="U107" s="142"/>
      <c r="V107" s="107" t="e">
        <f>T107-X107</f>
        <v>#REF!</v>
      </c>
      <c r="W107" s="142"/>
      <c r="X107" s="107" t="e">
        <v>#REF!</v>
      </c>
      <c r="Y107" s="142"/>
      <c r="Z107" s="107">
        <v>2105.6011108362136</v>
      </c>
      <c r="AA107" s="142"/>
      <c r="AB107" s="107" t="e">
        <v>#REF!</v>
      </c>
      <c r="AC107" s="142"/>
      <c r="AD107" s="107" t="e">
        <v>#REF!</v>
      </c>
      <c r="AE107" s="142"/>
      <c r="AF107" s="107">
        <v>2202.8135858809819</v>
      </c>
      <c r="AG107" s="142"/>
      <c r="AH107" s="107" t="e">
        <v>#VALUE!</v>
      </c>
      <c r="AI107" s="142"/>
      <c r="AJ107" s="107" t="e">
        <v>#VALUE!</v>
      </c>
      <c r="AK107" s="142"/>
      <c r="AL107" s="107">
        <v>2247.1999999999998</v>
      </c>
      <c r="AM107" s="142"/>
      <c r="AN107" s="107">
        <v>1564.2999999999997</v>
      </c>
      <c r="AO107" s="142"/>
      <c r="AP107" s="107">
        <v>682.90000000000009</v>
      </c>
      <c r="AQ107" s="142"/>
      <c r="AR107" s="107">
        <v>1355.1999999999998</v>
      </c>
      <c r="AS107" s="142"/>
      <c r="AT107" s="107">
        <v>789.96222445075387</v>
      </c>
      <c r="AU107" s="142"/>
      <c r="AV107" s="107">
        <v>565.23777554924595</v>
      </c>
      <c r="AW107" s="142"/>
      <c r="AX107" s="107">
        <v>1873.0854904472474</v>
      </c>
      <c r="AY107" s="142"/>
      <c r="AZ107" s="107">
        <v>899.31204752720873</v>
      </c>
      <c r="BA107" s="142"/>
      <c r="BB107" s="107">
        <f>BB28-BB108</f>
        <v>973.77344292003863</v>
      </c>
      <c r="BC107" s="142"/>
      <c r="BD107" s="107">
        <f>BD28-BD108</f>
        <v>1389.7712510897338</v>
      </c>
      <c r="BE107" s="142"/>
      <c r="BF107" s="107">
        <f>BD107-BH107</f>
        <v>1052.7712510897338</v>
      </c>
      <c r="BG107" s="142"/>
      <c r="BH107" s="107">
        <f>BH28-BH108</f>
        <v>336.99999999999994</v>
      </c>
      <c r="BJ107" s="107">
        <f>BJ28-BJ108</f>
        <v>756.61664360000009</v>
      </c>
      <c r="BK107" s="142"/>
      <c r="BL107" s="107">
        <f>BJ107-BN107</f>
        <v>437.70086122000009</v>
      </c>
      <c r="BM107" s="142"/>
      <c r="BN107" s="107">
        <f>BN28-BN108</f>
        <v>318.91578238</v>
      </c>
      <c r="BR107" s="110"/>
    </row>
    <row r="108" spans="1:70" ht="12.75" hidden="1" customHeight="1" outlineLevel="1" x14ac:dyDescent="0.2">
      <c r="A108" s="142" t="s">
        <v>20</v>
      </c>
      <c r="B108" s="107">
        <v>1298.0999999999999</v>
      </c>
      <c r="C108" s="142"/>
      <c r="D108" s="107" t="e">
        <f>B108-F108</f>
        <v>#REF!</v>
      </c>
      <c r="E108" s="142"/>
      <c r="F108" s="107" t="e">
        <f>B108-L108</f>
        <v>#REF!</v>
      </c>
      <c r="G108" s="142"/>
      <c r="H108" s="107">
        <v>1298.0999999999999</v>
      </c>
      <c r="I108" s="142"/>
      <c r="J108" s="107" t="e">
        <f>H108-L108</f>
        <v>#REF!</v>
      </c>
      <c r="K108" s="142"/>
      <c r="L108" s="107" t="e">
        <f>H108-R108</f>
        <v>#REF!</v>
      </c>
      <c r="M108" s="142"/>
      <c r="N108" s="523">
        <v>1298.0999999999999</v>
      </c>
      <c r="O108" s="142"/>
      <c r="P108" s="107" t="e">
        <f>N108-R108</f>
        <v>#REF!</v>
      </c>
      <c r="Q108" s="142"/>
      <c r="R108" s="107" t="e">
        <v>#REF!</v>
      </c>
      <c r="S108" s="142"/>
      <c r="T108" s="523">
        <v>1298.0999999999999</v>
      </c>
      <c r="U108" s="142"/>
      <c r="V108" s="107" t="e">
        <f>T108-X108</f>
        <v>#REF!</v>
      </c>
      <c r="W108" s="142"/>
      <c r="X108" s="107" t="e">
        <v>#REF!</v>
      </c>
      <c r="Y108" s="142"/>
      <c r="Z108" s="523">
        <v>1298.0999999999999</v>
      </c>
      <c r="AA108" s="142"/>
      <c r="AB108" s="107" t="e">
        <v>#REF!</v>
      </c>
      <c r="AC108" s="142"/>
      <c r="AD108" s="107" t="e">
        <v>#REF!</v>
      </c>
      <c r="AE108" s="142"/>
      <c r="AF108" s="523">
        <v>1298.0999999999999</v>
      </c>
      <c r="AG108" s="142"/>
      <c r="AH108" s="107" t="e">
        <v>#VALUE!</v>
      </c>
      <c r="AI108" s="142"/>
      <c r="AJ108" s="107" t="e">
        <v>#VALUE!</v>
      </c>
      <c r="AK108" s="142"/>
      <c r="AL108" s="523">
        <v>1298.0999999999999</v>
      </c>
      <c r="AM108" s="142"/>
      <c r="AN108" s="107">
        <v>556.59999999999991</v>
      </c>
      <c r="AO108" s="142"/>
      <c r="AP108" s="107">
        <v>741.5</v>
      </c>
      <c r="AQ108" s="142"/>
      <c r="AR108" s="523">
        <v>1576.5</v>
      </c>
      <c r="AS108" s="142"/>
      <c r="AT108" s="107">
        <v>905.33777554924586</v>
      </c>
      <c r="AU108" s="142"/>
      <c r="AV108" s="107">
        <v>671.16222445075414</v>
      </c>
      <c r="AW108" s="142"/>
      <c r="AX108" s="523">
        <v>1545.8</v>
      </c>
      <c r="AY108" s="142"/>
      <c r="AZ108" s="107">
        <v>811.57344292003859</v>
      </c>
      <c r="BA108" s="142"/>
      <c r="BB108" s="107">
        <v>734.22655707996137</v>
      </c>
      <c r="BC108" s="142"/>
      <c r="BD108" s="107">
        <v>1528.3943583773041</v>
      </c>
      <c r="BE108" s="142"/>
      <c r="BF108" s="107">
        <f t="shared" ref="BF108:BF114" si="40">BD108-BH108</f>
        <v>1116.0943583773042</v>
      </c>
      <c r="BG108" s="142"/>
      <c r="BH108" s="107">
        <v>412.3</v>
      </c>
      <c r="BJ108" s="107">
        <f>'2008 ET report'!M25/1000</f>
        <v>616.59950013999992</v>
      </c>
      <c r="BK108" s="142"/>
      <c r="BL108" s="107">
        <f>BJ108-BN108</f>
        <v>391.91528251999989</v>
      </c>
      <c r="BM108" s="142"/>
      <c r="BN108" s="107">
        <f>'Mar 2008 ET report'!N35/1000</f>
        <v>224.68421762</v>
      </c>
      <c r="BR108" s="110"/>
    </row>
    <row r="109" spans="1:70" ht="12.75" hidden="1" customHeight="1" outlineLevel="1" x14ac:dyDescent="0.2">
      <c r="A109" s="142" t="s">
        <v>21</v>
      </c>
      <c r="B109" s="141" t="e">
        <f>B108/B28</f>
        <v>#DIV/0!</v>
      </c>
      <c r="C109" s="143"/>
      <c r="D109" s="141" t="e">
        <f>D108/D28</f>
        <v>#REF!</v>
      </c>
      <c r="E109" s="142"/>
      <c r="F109" s="141" t="e">
        <f>F108/F28</f>
        <v>#REF!</v>
      </c>
      <c r="G109" s="142"/>
      <c r="H109" s="141">
        <f>H108/H28</f>
        <v>0.38706860630330503</v>
      </c>
      <c r="I109" s="143"/>
      <c r="J109" s="141" t="e">
        <f>J108/J28</f>
        <v>#REF!</v>
      </c>
      <c r="K109" s="142"/>
      <c r="L109" s="141" t="e">
        <f>L108/L28</f>
        <v>#REF!</v>
      </c>
      <c r="M109" s="142"/>
      <c r="N109" s="141">
        <v>0.35629347921456661</v>
      </c>
      <c r="O109" s="143"/>
      <c r="P109" s="141" t="e">
        <f>P108/P28</f>
        <v>#REF!</v>
      </c>
      <c r="Q109" s="142"/>
      <c r="R109" s="141" t="e">
        <v>#REF!</v>
      </c>
      <c r="S109" s="143"/>
      <c r="T109" s="141">
        <f>T108/T28</f>
        <v>0.38726548398707811</v>
      </c>
      <c r="U109" s="143"/>
      <c r="V109" s="141" t="e">
        <f>V108/V28</f>
        <v>#REF!</v>
      </c>
      <c r="W109" s="142"/>
      <c r="X109" s="141" t="e">
        <v>#REF!</v>
      </c>
      <c r="Y109" s="143"/>
      <c r="Z109" s="141">
        <v>0.38137896299627955</v>
      </c>
      <c r="AA109" s="143"/>
      <c r="AB109" s="141" t="e">
        <v>#REF!</v>
      </c>
      <c r="AC109" s="142"/>
      <c r="AD109" s="141" t="e">
        <v>#REF!</v>
      </c>
      <c r="AE109" s="143"/>
      <c r="AF109" s="141">
        <v>0.37078892927696805</v>
      </c>
      <c r="AG109" s="143"/>
      <c r="AH109" s="141" t="e">
        <v>#VALUE!</v>
      </c>
      <c r="AI109" s="142"/>
      <c r="AJ109" s="141" t="e">
        <v>#VALUE!</v>
      </c>
      <c r="AK109" s="143"/>
      <c r="AL109" s="141">
        <v>0.36614672947282317</v>
      </c>
      <c r="AM109" s="143"/>
      <c r="AN109" s="141">
        <v>0.26243575840445088</v>
      </c>
      <c r="AO109" s="143"/>
      <c r="AP109" s="141">
        <v>0.52057006458859867</v>
      </c>
      <c r="AQ109" s="143"/>
      <c r="AR109" s="141">
        <v>0.53774260667871887</v>
      </c>
      <c r="AS109" s="143"/>
      <c r="AT109" s="141">
        <v>0.53402806320370777</v>
      </c>
      <c r="AU109" s="143"/>
      <c r="AV109" s="141">
        <v>0.54283583342830322</v>
      </c>
      <c r="AW109" s="143"/>
      <c r="AX109" s="141">
        <v>0.45213564605165629</v>
      </c>
      <c r="AY109" s="143"/>
      <c r="AZ109" s="141">
        <v>0.47435871509313171</v>
      </c>
      <c r="BA109" s="143"/>
      <c r="BB109" s="141">
        <f>BB108/BB28</f>
        <v>0.42987503341918115</v>
      </c>
      <c r="BC109" s="143"/>
      <c r="BD109" s="141">
        <f>BD108/BD28</f>
        <v>0.5237517546704431</v>
      </c>
      <c r="BE109" s="143"/>
      <c r="BF109" s="141">
        <f>BF108/BF28</f>
        <v>0.51459820908477849</v>
      </c>
      <c r="BG109" s="143"/>
      <c r="BH109" s="141">
        <f>BH108/BH28</f>
        <v>0.55024689710396379</v>
      </c>
      <c r="BJ109" s="141"/>
      <c r="BK109" s="143"/>
      <c r="BL109" s="141"/>
      <c r="BM109" s="143"/>
      <c r="BN109" s="141"/>
      <c r="BR109" s="110"/>
    </row>
    <row r="110" spans="1:70" ht="12.75" hidden="1" customHeight="1" outlineLevel="1" x14ac:dyDescent="0.2">
      <c r="A110" s="142" t="s">
        <v>22</v>
      </c>
      <c r="B110" s="107">
        <v>-521.9</v>
      </c>
      <c r="C110" s="142"/>
      <c r="D110" s="107" t="e">
        <f>B110-F110</f>
        <v>#REF!</v>
      </c>
      <c r="E110" s="142"/>
      <c r="F110" s="107" t="e">
        <f>B110-L110</f>
        <v>#REF!</v>
      </c>
      <c r="G110" s="142"/>
      <c r="H110" s="107">
        <v>-521.9</v>
      </c>
      <c r="I110" s="142"/>
      <c r="J110" s="107" t="e">
        <f>H110-L110</f>
        <v>#REF!</v>
      </c>
      <c r="K110" s="142"/>
      <c r="L110" s="107" t="e">
        <f>H110-R110</f>
        <v>#REF!</v>
      </c>
      <c r="M110" s="142"/>
      <c r="N110" s="523">
        <v>-521.9</v>
      </c>
      <c r="O110" s="142"/>
      <c r="P110" s="107" t="e">
        <f>N110-R110</f>
        <v>#REF!</v>
      </c>
      <c r="Q110" s="142"/>
      <c r="R110" s="107" t="e">
        <v>#REF!</v>
      </c>
      <c r="S110" s="142"/>
      <c r="T110" s="523">
        <v>-521.9</v>
      </c>
      <c r="U110" s="142"/>
      <c r="V110" s="107" t="e">
        <f>T110-X110</f>
        <v>#REF!</v>
      </c>
      <c r="W110" s="142"/>
      <c r="X110" s="107" t="e">
        <v>#REF!</v>
      </c>
      <c r="Y110" s="142"/>
      <c r="Z110" s="523">
        <v>-521.9</v>
      </c>
      <c r="AA110" s="142"/>
      <c r="AB110" s="107" t="e">
        <v>#REF!</v>
      </c>
      <c r="AC110" s="142"/>
      <c r="AD110" s="107" t="e">
        <v>#REF!</v>
      </c>
      <c r="AE110" s="142"/>
      <c r="AF110" s="523">
        <v>-521.9</v>
      </c>
      <c r="AG110" s="142"/>
      <c r="AH110" s="107" t="e">
        <v>#VALUE!</v>
      </c>
      <c r="AI110" s="142"/>
      <c r="AJ110" s="107" t="e">
        <v>#VALUE!</v>
      </c>
      <c r="AK110" s="142"/>
      <c r="AL110" s="523">
        <v>-521.9</v>
      </c>
      <c r="AM110" s="142"/>
      <c r="AN110" s="107">
        <v>-68.299999999999955</v>
      </c>
      <c r="AO110" s="142"/>
      <c r="AP110" s="107">
        <v>-453.6</v>
      </c>
      <c r="AQ110" s="142"/>
      <c r="AR110" s="523">
        <v>-836.1</v>
      </c>
      <c r="AS110" s="142"/>
      <c r="AT110" s="107">
        <v>-435.40303894424642</v>
      </c>
      <c r="AU110" s="142"/>
      <c r="AV110" s="107">
        <v>-400.6969610557536</v>
      </c>
      <c r="AW110" s="142"/>
      <c r="AX110" s="523">
        <v>-874.8</v>
      </c>
      <c r="AY110" s="142"/>
      <c r="AZ110" s="107">
        <v>-431.81423292780153</v>
      </c>
      <c r="BA110" s="142"/>
      <c r="BB110" s="107">
        <v>-442.98576707219843</v>
      </c>
      <c r="BC110" s="142"/>
      <c r="BD110" s="107">
        <v>-510.40024552350098</v>
      </c>
      <c r="BE110" s="142"/>
      <c r="BF110" s="107">
        <f t="shared" si="40"/>
        <v>-357.30024552350096</v>
      </c>
      <c r="BG110" s="142"/>
      <c r="BH110" s="107">
        <v>-153.1</v>
      </c>
      <c r="BJ110" s="107"/>
      <c r="BK110" s="142"/>
      <c r="BL110" s="107"/>
      <c r="BM110" s="142"/>
      <c r="BN110" s="107"/>
      <c r="BR110" s="110"/>
    </row>
    <row r="111" spans="1:70" ht="12.75" hidden="1" customHeight="1" outlineLevel="1" x14ac:dyDescent="0.2">
      <c r="A111" s="142" t="s">
        <v>23</v>
      </c>
      <c r="B111" s="107">
        <f>B55</f>
        <v>0</v>
      </c>
      <c r="C111" s="142"/>
      <c r="D111" s="107" t="e">
        <f>B111-F111</f>
        <v>#REF!</v>
      </c>
      <c r="E111" s="142"/>
      <c r="F111" s="107" t="e">
        <f>B111-L111</f>
        <v>#REF!</v>
      </c>
      <c r="G111" s="142"/>
      <c r="H111" s="107">
        <f>H55</f>
        <v>672.56947105999984</v>
      </c>
      <c r="I111" s="142"/>
      <c r="J111" s="107" t="e">
        <f>H111-L111</f>
        <v>#REF!</v>
      </c>
      <c r="K111" s="142"/>
      <c r="L111" s="107" t="e">
        <f>H111-R111</f>
        <v>#REF!</v>
      </c>
      <c r="M111" s="142"/>
      <c r="N111" s="107">
        <v>825.62829490399156</v>
      </c>
      <c r="O111" s="142"/>
      <c r="P111" s="107" t="e">
        <f>N111-R111</f>
        <v>#REF!</v>
      </c>
      <c r="Q111" s="142"/>
      <c r="R111" s="107" t="e">
        <v>#REF!</v>
      </c>
      <c r="S111" s="142"/>
      <c r="T111" s="107">
        <f>T55</f>
        <v>742.72312119088667</v>
      </c>
      <c r="U111" s="142"/>
      <c r="V111" s="107" t="e">
        <f>T111-X111</f>
        <v>#REF!</v>
      </c>
      <c r="W111" s="142"/>
      <c r="X111" s="107" t="e">
        <v>#REF!</v>
      </c>
      <c r="Y111" s="142"/>
      <c r="Z111" s="107">
        <v>649.91987589385121</v>
      </c>
      <c r="AA111" s="142"/>
      <c r="AB111" s="107" t="e">
        <v>#REF!</v>
      </c>
      <c r="AC111" s="142"/>
      <c r="AD111" s="107" t="e">
        <v>#REF!</v>
      </c>
      <c r="AE111" s="142"/>
      <c r="AF111" s="107">
        <v>754.8809328217385</v>
      </c>
      <c r="AG111" s="142"/>
      <c r="AH111" s="107" t="e">
        <v>#VALUE!</v>
      </c>
      <c r="AI111" s="142"/>
      <c r="AJ111" s="107" t="e">
        <v>#VALUE!</v>
      </c>
      <c r="AK111" s="142"/>
      <c r="AL111" s="107">
        <v>920.30000000000007</v>
      </c>
      <c r="AM111" s="142"/>
      <c r="AN111" s="107">
        <v>571.80000000000007</v>
      </c>
      <c r="AO111" s="142"/>
      <c r="AP111" s="107">
        <v>348.5</v>
      </c>
      <c r="AQ111" s="142"/>
      <c r="AR111" s="107">
        <v>787.3</v>
      </c>
      <c r="AS111" s="142"/>
      <c r="AT111" s="107">
        <v>490.7100344617881</v>
      </c>
      <c r="AU111" s="142"/>
      <c r="AV111" s="107">
        <v>296.58996553821186</v>
      </c>
      <c r="AW111" s="142"/>
      <c r="AX111" s="107">
        <v>742.99999999999989</v>
      </c>
      <c r="AY111" s="142"/>
      <c r="AZ111" s="107">
        <v>382.64616891786972</v>
      </c>
      <c r="BA111" s="142"/>
      <c r="BB111" s="107">
        <v>360.35383108213017</v>
      </c>
      <c r="BC111" s="107"/>
      <c r="BD111" s="107">
        <v>1025.5708395937741</v>
      </c>
      <c r="BE111" s="107"/>
      <c r="BF111" s="107">
        <f t="shared" si="40"/>
        <v>756.57083959377405</v>
      </c>
      <c r="BG111" s="107"/>
      <c r="BH111" s="107">
        <v>269.00000000000006</v>
      </c>
      <c r="BJ111" s="107"/>
      <c r="BK111" s="107"/>
      <c r="BL111" s="107"/>
      <c r="BM111" s="107"/>
      <c r="BN111" s="107"/>
      <c r="BR111" s="110"/>
    </row>
    <row r="112" spans="1:70" ht="12.75" hidden="1" customHeight="1" outlineLevel="1" x14ac:dyDescent="0.2">
      <c r="A112" s="142" t="s">
        <v>24</v>
      </c>
      <c r="B112" s="141" t="e">
        <f>B111/B28</f>
        <v>#DIV/0!</v>
      </c>
      <c r="C112" s="110"/>
      <c r="D112" s="141" t="e">
        <f>D111/D28</f>
        <v>#REF!</v>
      </c>
      <c r="E112" s="142"/>
      <c r="F112" s="141" t="e">
        <f>F111/F28</f>
        <v>#REF!</v>
      </c>
      <c r="G112" s="142"/>
      <c r="H112" s="141">
        <f>H111/H28</f>
        <v>0.20054735983772068</v>
      </c>
      <c r="I112" s="110"/>
      <c r="J112" s="141" t="e">
        <f>J111/J28</f>
        <v>#REF!</v>
      </c>
      <c r="K112" s="142"/>
      <c r="L112" s="141" t="e">
        <f>L111/L28</f>
        <v>#REF!</v>
      </c>
      <c r="M112" s="142"/>
      <c r="N112" s="141">
        <v>0.22661272454305018</v>
      </c>
      <c r="O112" s="110"/>
      <c r="P112" s="141" t="e">
        <f>P111/P28</f>
        <v>#REF!</v>
      </c>
      <c r="Q112" s="142"/>
      <c r="R112" s="141" t="e">
        <v>#REF!</v>
      </c>
      <c r="S112" s="110"/>
      <c r="T112" s="141">
        <f>T111/T28</f>
        <v>0.22157848316491952</v>
      </c>
      <c r="U112" s="110"/>
      <c r="V112" s="141" t="e">
        <f>V111/V28</f>
        <v>#REF!</v>
      </c>
      <c r="W112" s="142"/>
      <c r="X112" s="141" t="e">
        <v>#REF!</v>
      </c>
      <c r="Y112" s="110"/>
      <c r="Z112" s="141">
        <v>0.19094504914803767</v>
      </c>
      <c r="AA112" s="110"/>
      <c r="AB112" s="141" t="e">
        <v>#REF!</v>
      </c>
      <c r="AC112" s="142"/>
      <c r="AD112" s="141" t="e">
        <v>#REF!</v>
      </c>
      <c r="AE112" s="110"/>
      <c r="AF112" s="141">
        <v>0.21562398336998018</v>
      </c>
      <c r="AG112" s="110"/>
      <c r="AH112" s="141" t="e">
        <v>#VALUE!</v>
      </c>
      <c r="AI112" s="142"/>
      <c r="AJ112" s="141" t="e">
        <v>#VALUE!</v>
      </c>
      <c r="AK112" s="110"/>
      <c r="AL112" s="141">
        <v>0.2595831100330015</v>
      </c>
      <c r="AM112" s="110"/>
      <c r="AN112" s="141">
        <v>0.26960252722900657</v>
      </c>
      <c r="AO112" s="110"/>
      <c r="AP112" s="141">
        <v>0.24466442010671158</v>
      </c>
      <c r="AQ112" s="110"/>
      <c r="AR112" s="141">
        <v>0.2685472592693659</v>
      </c>
      <c r="AS112" s="110"/>
      <c r="AT112" s="141">
        <v>0.28945321445277417</v>
      </c>
      <c r="AU112" s="110"/>
      <c r="AV112" s="141">
        <v>0.23988188736510177</v>
      </c>
      <c r="AW112" s="110"/>
      <c r="AX112" s="141">
        <v>0.2173222829708763</v>
      </c>
      <c r="AY112" s="110"/>
      <c r="AZ112" s="141">
        <v>0.22365387458972558</v>
      </c>
      <c r="BA112" s="110"/>
      <c r="BB112" s="141">
        <f>BB111/BB28</f>
        <v>0.21097999477876472</v>
      </c>
      <c r="BC112" s="109"/>
      <c r="BD112" s="141">
        <f>BD111/BD28</f>
        <v>0.35144367278767302</v>
      </c>
      <c r="BE112" s="109"/>
      <c r="BF112" s="141">
        <f>BF111/BF28</f>
        <v>0.34883251239328222</v>
      </c>
      <c r="BG112" s="109"/>
      <c r="BH112" s="141">
        <f>BH111/BH28</f>
        <v>0.35900173495262255</v>
      </c>
      <c r="BJ112" s="141"/>
      <c r="BK112" s="109"/>
      <c r="BL112" s="141"/>
      <c r="BM112" s="109"/>
      <c r="BN112" s="141"/>
      <c r="BR112" s="110"/>
    </row>
    <row r="113" spans="1:70" ht="12.75" hidden="1" customHeight="1" outlineLevel="1" x14ac:dyDescent="0.2">
      <c r="A113" s="142" t="s">
        <v>53</v>
      </c>
      <c r="B113" s="107">
        <f>-B69</f>
        <v>0</v>
      </c>
      <c r="C113" s="110"/>
      <c r="D113" s="107" t="e">
        <f>B113-F113</f>
        <v>#REF!</v>
      </c>
      <c r="E113" s="142"/>
      <c r="F113" s="107" t="e">
        <f>B113-L113</f>
        <v>#REF!</v>
      </c>
      <c r="G113" s="142"/>
      <c r="H113" s="107">
        <f>-H69</f>
        <v>244.5</v>
      </c>
      <c r="I113" s="110"/>
      <c r="J113" s="107" t="e">
        <f>H113-L113</f>
        <v>#REF!</v>
      </c>
      <c r="K113" s="142"/>
      <c r="L113" s="107" t="e">
        <f>H113-R113</f>
        <v>#REF!</v>
      </c>
      <c r="M113" s="142"/>
      <c r="N113" s="107">
        <v>249.06505992150272</v>
      </c>
      <c r="O113" s="110"/>
      <c r="P113" s="107" t="e">
        <f>N113-R113</f>
        <v>#REF!</v>
      </c>
      <c r="Q113" s="142"/>
      <c r="R113" s="107" t="e">
        <v>#REF!</v>
      </c>
      <c r="S113" s="110"/>
      <c r="T113" s="107">
        <f>-T69</f>
        <v>223.33620716029148</v>
      </c>
      <c r="U113" s="110"/>
      <c r="V113" s="107" t="e">
        <f>T113-X113</f>
        <v>#REF!</v>
      </c>
      <c r="W113" s="142"/>
      <c r="X113" s="107" t="e">
        <v>#REF!</v>
      </c>
      <c r="Y113" s="110"/>
      <c r="Z113" s="107">
        <v>183.65699842738829</v>
      </c>
      <c r="AA113" s="110"/>
      <c r="AB113" s="107" t="e">
        <v>#REF!</v>
      </c>
      <c r="AC113" s="142"/>
      <c r="AD113" s="107" t="e">
        <v>#REF!</v>
      </c>
      <c r="AE113" s="110"/>
      <c r="AF113" s="107">
        <v>-155.77204481496591</v>
      </c>
      <c r="AG113" s="110"/>
      <c r="AH113" s="107" t="e">
        <v>#VALUE!</v>
      </c>
      <c r="AI113" s="142"/>
      <c r="AJ113" s="107" t="e">
        <v>#VALUE!</v>
      </c>
      <c r="AK113" s="110"/>
      <c r="AL113" s="107">
        <v>-148.19999999999999</v>
      </c>
      <c r="AM113" s="110"/>
      <c r="AN113" s="107">
        <v>-73.499999999999986</v>
      </c>
      <c r="AO113" s="110"/>
      <c r="AP113" s="107">
        <v>-74.7</v>
      </c>
      <c r="AQ113" s="110"/>
      <c r="AR113" s="107">
        <v>-139</v>
      </c>
      <c r="AS113" s="110"/>
      <c r="AT113" s="107">
        <v>-72.540344098501478</v>
      </c>
      <c r="AU113" s="110"/>
      <c r="AV113" s="107">
        <v>-66.459655901498522</v>
      </c>
      <c r="AW113" s="110"/>
      <c r="AX113" s="107">
        <v>-167.3</v>
      </c>
      <c r="AY113" s="110"/>
      <c r="AZ113" s="107">
        <v>-79.183825809000268</v>
      </c>
      <c r="BA113" s="110"/>
      <c r="BB113" s="107">
        <v>-88.116174190999743</v>
      </c>
      <c r="BC113" s="110"/>
      <c r="BD113" s="107">
        <v>-70.259729250109999</v>
      </c>
      <c r="BE113" s="107"/>
      <c r="BF113" s="107">
        <f t="shared" si="40"/>
        <v>-51.259729250109999</v>
      </c>
      <c r="BG113" s="110"/>
      <c r="BH113" s="107">
        <v>-19</v>
      </c>
      <c r="BJ113" s="107"/>
      <c r="BK113" s="110"/>
      <c r="BL113" s="107"/>
      <c r="BM113" s="110"/>
      <c r="BN113" s="107"/>
      <c r="BR113" s="110"/>
    </row>
    <row r="114" spans="1:70" ht="12.75" hidden="1" customHeight="1" outlineLevel="1" x14ac:dyDescent="0.2">
      <c r="A114" s="142" t="s">
        <v>15</v>
      </c>
      <c r="B114" s="107">
        <f>B96</f>
        <v>0</v>
      </c>
      <c r="C114" s="110"/>
      <c r="D114" s="107" t="e">
        <f>B114-F114</f>
        <v>#REF!</v>
      </c>
      <c r="E114" s="142"/>
      <c r="F114" s="107" t="e">
        <f>B114-L114</f>
        <v>#REF!</v>
      </c>
      <c r="G114" s="142"/>
      <c r="H114" s="107">
        <f>H96</f>
        <v>428.1</v>
      </c>
      <c r="I114" s="110"/>
      <c r="J114" s="107" t="e">
        <f>H114-L114</f>
        <v>#REF!</v>
      </c>
      <c r="K114" s="142"/>
      <c r="L114" s="107" t="e">
        <f>H114-R114</f>
        <v>#REF!</v>
      </c>
      <c r="M114" s="142"/>
      <c r="N114" s="107">
        <v>576.5</v>
      </c>
      <c r="O114" s="110"/>
      <c r="P114" s="107" t="e">
        <f>N114-R114</f>
        <v>#REF!</v>
      </c>
      <c r="Q114" s="142"/>
      <c r="R114" s="107" t="e">
        <v>#REF!</v>
      </c>
      <c r="S114" s="110"/>
      <c r="T114" s="107">
        <f>T96</f>
        <v>519.38691403059522</v>
      </c>
      <c r="U114" s="110"/>
      <c r="V114" s="107" t="e">
        <f>T114-X114</f>
        <v>#REF!</v>
      </c>
      <c r="W114" s="142"/>
      <c r="X114" s="107" t="e">
        <v>#REF!</v>
      </c>
      <c r="Y114" s="110"/>
      <c r="Z114" s="107">
        <v>466.16287746646293</v>
      </c>
      <c r="AA114" s="110"/>
      <c r="AB114" s="107" t="e">
        <v>#REF!</v>
      </c>
      <c r="AC114" s="142"/>
      <c r="AD114" s="107" t="e">
        <v>#REF!</v>
      </c>
      <c r="AE114" s="110"/>
      <c r="AF114" s="107">
        <v>599.10888800677264</v>
      </c>
      <c r="AG114" s="110"/>
      <c r="AH114" s="107" t="e">
        <v>#VALUE!</v>
      </c>
      <c r="AI114" s="142"/>
      <c r="AJ114" s="107" t="e">
        <v>#VALUE!</v>
      </c>
      <c r="AK114" s="110"/>
      <c r="AL114" s="107">
        <v>772.10000000000014</v>
      </c>
      <c r="AM114" s="110"/>
      <c r="AN114" s="107">
        <v>498.30000000000013</v>
      </c>
      <c r="AO114" s="110"/>
      <c r="AP114" s="107">
        <v>273.8</v>
      </c>
      <c r="AQ114" s="110"/>
      <c r="AR114" s="107">
        <v>648.29999999999995</v>
      </c>
      <c r="AS114" s="110"/>
      <c r="AT114" s="107">
        <v>418.16969036328663</v>
      </c>
      <c r="AU114" s="110"/>
      <c r="AV114" s="107">
        <v>230.13030963671332</v>
      </c>
      <c r="AW114" s="110"/>
      <c r="AX114" s="107">
        <v>575.69999999999982</v>
      </c>
      <c r="AY114" s="110"/>
      <c r="AZ114" s="107">
        <v>303.46234310886939</v>
      </c>
      <c r="BA114" s="110"/>
      <c r="BB114" s="107">
        <v>272.23765689113043</v>
      </c>
      <c r="BC114" s="107"/>
      <c r="BD114" s="107">
        <v>955.31111034366404</v>
      </c>
      <c r="BE114" s="107"/>
      <c r="BF114" s="107">
        <f t="shared" si="40"/>
        <v>705.31111034366404</v>
      </c>
      <c r="BG114" s="107"/>
      <c r="BH114" s="107">
        <v>250.00000000000006</v>
      </c>
      <c r="BJ114" s="107"/>
      <c r="BK114" s="107"/>
      <c r="BL114" s="107"/>
      <c r="BM114" s="107"/>
      <c r="BN114" s="107"/>
      <c r="BR114" s="110"/>
    </row>
    <row r="115" spans="1:70" collapsed="1" x14ac:dyDescent="0.2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44"/>
      <c r="BE115" s="110"/>
      <c r="BF115" s="110"/>
      <c r="BG115" s="110"/>
      <c r="BH115" s="110"/>
      <c r="BJ115" s="144"/>
      <c r="BK115" s="110"/>
      <c r="BL115" s="110"/>
      <c r="BM115" s="110"/>
      <c r="BN115" s="110"/>
      <c r="BR115" s="110"/>
    </row>
    <row r="116" spans="1:70" x14ac:dyDescent="0.2">
      <c r="A116" s="180"/>
    </row>
    <row r="117" spans="1:70" s="11" customFormat="1" ht="15" customHeight="1" x14ac:dyDescent="0.2">
      <c r="A117" s="555"/>
      <c r="B117" s="555"/>
      <c r="C117" s="555"/>
      <c r="D117" s="555"/>
      <c r="E117" s="555"/>
      <c r="F117" s="555"/>
      <c r="G117" s="555"/>
      <c r="H117" s="555"/>
      <c r="I117" s="555"/>
      <c r="J117" s="555"/>
      <c r="K117" s="555"/>
      <c r="L117" s="555"/>
      <c r="M117" s="555"/>
      <c r="N117" s="555"/>
      <c r="O117" s="555"/>
      <c r="P117" s="555"/>
      <c r="Q117" s="555"/>
      <c r="R117" s="555"/>
      <c r="S117" s="555"/>
      <c r="T117" s="555"/>
      <c r="U117" s="555"/>
      <c r="V117" s="555"/>
      <c r="W117" s="555"/>
      <c r="X117" s="555"/>
      <c r="Y117" s="555"/>
      <c r="Z117" s="555"/>
      <c r="AA117" s="555"/>
      <c r="AB117" s="555"/>
      <c r="AC117" s="555"/>
      <c r="AD117" s="555"/>
      <c r="AE117" s="555"/>
      <c r="AF117" s="555"/>
      <c r="AG117" s="555"/>
      <c r="AH117" s="555"/>
      <c r="AI117" s="555"/>
      <c r="AJ117" s="555"/>
      <c r="AK117" s="555"/>
      <c r="AL117" s="555"/>
      <c r="AM117" s="555"/>
      <c r="AN117" s="555"/>
      <c r="AO117" s="555"/>
      <c r="AP117" s="555"/>
      <c r="AQ117" s="555"/>
      <c r="AR117" s="555"/>
      <c r="AS117" s="556"/>
      <c r="AT117" s="556"/>
      <c r="AU117" s="556"/>
      <c r="AV117" s="556"/>
      <c r="AW117" s="556"/>
      <c r="AX117" s="556"/>
      <c r="AY117" s="180"/>
      <c r="AZ117" s="180"/>
      <c r="BA117" s="180"/>
      <c r="BB117" s="180"/>
      <c r="BC117" s="557"/>
      <c r="BD117" s="180"/>
      <c r="BE117" s="180"/>
      <c r="BF117" s="180"/>
      <c r="BG117" s="180"/>
      <c r="BH117" s="180"/>
      <c r="BI117" s="180"/>
      <c r="BJ117" s="181"/>
    </row>
    <row r="118" spans="1:70" x14ac:dyDescent="0.2">
      <c r="A118" s="555"/>
      <c r="B118" s="555"/>
      <c r="C118" s="555"/>
      <c r="D118" s="555"/>
      <c r="E118" s="555"/>
      <c r="F118" s="555"/>
      <c r="G118" s="555"/>
      <c r="H118" s="555"/>
      <c r="I118" s="555"/>
      <c r="J118" s="555"/>
      <c r="K118" s="555"/>
      <c r="L118" s="555"/>
      <c r="M118" s="555"/>
      <c r="N118" s="555"/>
      <c r="O118" s="555"/>
      <c r="P118" s="555"/>
      <c r="Q118" s="555"/>
      <c r="R118" s="555"/>
      <c r="S118" s="555"/>
      <c r="T118" s="555"/>
      <c r="U118" s="555"/>
      <c r="V118" s="555"/>
      <c r="W118" s="555"/>
      <c r="X118" s="555"/>
      <c r="Y118" s="555"/>
      <c r="Z118" s="555"/>
      <c r="AA118" s="555"/>
      <c r="AB118" s="555"/>
      <c r="AC118" s="555"/>
      <c r="AD118" s="555"/>
      <c r="AE118" s="555"/>
      <c r="AF118" s="555"/>
      <c r="AG118" s="555"/>
      <c r="AH118" s="555"/>
      <c r="AI118" s="555"/>
      <c r="AJ118" s="555"/>
      <c r="AK118" s="555"/>
      <c r="AL118" s="555"/>
      <c r="AM118" s="555"/>
      <c r="AN118" s="555"/>
      <c r="AO118" s="555"/>
      <c r="AP118" s="555"/>
      <c r="AQ118" s="555"/>
      <c r="AR118" s="555"/>
      <c r="AS118" s="555"/>
      <c r="AT118" s="555"/>
    </row>
    <row r="119" spans="1:70" ht="21" customHeight="1" x14ac:dyDescent="0.2">
      <c r="A119" s="180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</row>
  </sheetData>
  <phoneticPr fontId="11" type="noConversion"/>
  <pageMargins left="0.25" right="0.25" top="0.75" bottom="0.75" header="0.3" footer="0.3"/>
  <pageSetup paperSize="9" scale="58" orientation="portrait" r:id="rId1"/>
  <headerFooter alignWithMargins="0"/>
  <customProperties>
    <customPr name="_pios_id" r:id="rId2"/>
    <customPr name="WORKBKFUNCTIONCACHE" r:id="rId3"/>
  </customProperties>
  <ignoredErrors>
    <ignoredError sqref="BA60:BH60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135"/>
  <sheetViews>
    <sheetView zoomScaleNormal="100" workbookViewId="0"/>
  </sheetViews>
  <sheetFormatPr defaultRowHeight="12.75" outlineLevelCol="1" x14ac:dyDescent="0.2"/>
  <cols>
    <col min="1" max="1" width="1" style="110" customWidth="1"/>
    <col min="2" max="2" width="12.28515625" customWidth="1" outlineLevel="1"/>
    <col min="3" max="3" width="48.28515625" bestFit="1" customWidth="1"/>
    <col min="4" max="4" width="7.7109375" customWidth="1"/>
    <col min="5" max="5" width="9.7109375" style="231" bestFit="1" customWidth="1"/>
    <col min="6" max="6" width="2.7109375" style="231" customWidth="1"/>
    <col min="7" max="7" width="9.28515625" style="110"/>
    <col min="8" max="8" width="8.7109375" bestFit="1" customWidth="1"/>
    <col min="9" max="9" width="19.5703125" bestFit="1" customWidth="1"/>
    <col min="10" max="10" width="10.28515625" bestFit="1" customWidth="1"/>
    <col min="11" max="11" width="9" bestFit="1" customWidth="1"/>
    <col min="12" max="12" width="20.42578125" bestFit="1" customWidth="1"/>
    <col min="13" max="13" width="9.28515625" bestFit="1" customWidth="1"/>
  </cols>
  <sheetData>
    <row r="1" spans="1:11" x14ac:dyDescent="0.2">
      <c r="A1" s="210"/>
      <c r="B1" s="210"/>
      <c r="C1" s="210"/>
      <c r="D1" s="210"/>
      <c r="E1" s="211"/>
      <c r="F1" s="211"/>
      <c r="G1" s="210"/>
    </row>
    <row r="2" spans="1:11" x14ac:dyDescent="0.2">
      <c r="A2" s="210"/>
      <c r="B2" s="210"/>
      <c r="C2" s="235" t="s">
        <v>197</v>
      </c>
      <c r="D2" s="210"/>
      <c r="E2" s="211"/>
      <c r="F2" s="211"/>
      <c r="G2" s="210"/>
      <c r="H2" s="213" t="s">
        <v>161</v>
      </c>
      <c r="I2" s="214" t="s">
        <v>162</v>
      </c>
    </row>
    <row r="3" spans="1:11" x14ac:dyDescent="0.2">
      <c r="A3" s="210"/>
      <c r="B3" s="210"/>
      <c r="C3" s="210" t="s">
        <v>198</v>
      </c>
      <c r="D3" s="210"/>
      <c r="E3" s="211"/>
      <c r="F3" s="211"/>
      <c r="G3" s="210"/>
      <c r="H3" s="215" t="s">
        <v>163</v>
      </c>
      <c r="I3" s="216">
        <v>2011</v>
      </c>
    </row>
    <row r="4" spans="1:11" x14ac:dyDescent="0.2">
      <c r="A4" s="210"/>
      <c r="B4" s="210"/>
      <c r="C4" s="210"/>
      <c r="D4" s="210"/>
      <c r="E4" s="217" t="s">
        <v>164</v>
      </c>
      <c r="F4" s="217"/>
      <c r="G4" s="210"/>
      <c r="H4" s="215" t="s">
        <v>165</v>
      </c>
      <c r="I4" s="216" t="s">
        <v>166</v>
      </c>
      <c r="K4">
        <v>1000000</v>
      </c>
    </row>
    <row r="5" spans="1:11" x14ac:dyDescent="0.2">
      <c r="A5" s="210"/>
      <c r="B5" s="210"/>
      <c r="C5" s="218"/>
      <c r="D5" s="219"/>
      <c r="E5" s="217" t="s">
        <v>1</v>
      </c>
      <c r="F5" s="217"/>
      <c r="G5" s="210"/>
      <c r="H5" s="215" t="s">
        <v>167</v>
      </c>
      <c r="I5" s="216" t="s">
        <v>168</v>
      </c>
    </row>
    <row r="6" spans="1:11" x14ac:dyDescent="0.2">
      <c r="A6" s="210"/>
      <c r="B6" s="210"/>
      <c r="C6" s="218"/>
      <c r="D6" s="219"/>
      <c r="E6" s="212">
        <v>2011</v>
      </c>
      <c r="F6" s="217"/>
      <c r="G6" s="210"/>
      <c r="H6" s="215" t="s">
        <v>169</v>
      </c>
      <c r="I6" s="216" t="s">
        <v>170</v>
      </c>
    </row>
    <row r="7" spans="1:11" x14ac:dyDescent="0.2">
      <c r="A7" s="210"/>
      <c r="B7" s="218" t="s">
        <v>171</v>
      </c>
      <c r="C7" s="220"/>
      <c r="D7" s="221"/>
      <c r="E7" s="222" t="s">
        <v>2</v>
      </c>
      <c r="F7" s="222"/>
      <c r="G7" s="210"/>
      <c r="H7" s="215" t="s">
        <v>172</v>
      </c>
      <c r="I7" s="216" t="s">
        <v>173</v>
      </c>
    </row>
    <row r="8" spans="1:11" x14ac:dyDescent="0.2">
      <c r="A8" s="210"/>
      <c r="B8" s="210"/>
      <c r="C8" s="210"/>
      <c r="D8" s="210"/>
      <c r="E8" s="211"/>
      <c r="F8" s="211"/>
      <c r="G8" s="210"/>
      <c r="H8" s="215" t="s">
        <v>174</v>
      </c>
      <c r="I8" s="216" t="s">
        <v>175</v>
      </c>
    </row>
    <row r="9" spans="1:11" x14ac:dyDescent="0.2">
      <c r="A9" s="210"/>
      <c r="B9" s="210" t="s">
        <v>193</v>
      </c>
      <c r="C9" s="210" t="e">
        <v>#NAME?</v>
      </c>
      <c r="D9" s="223"/>
      <c r="E9" s="224" t="e">
        <v>#NAME?</v>
      </c>
      <c r="F9" s="224"/>
      <c r="G9" s="210"/>
      <c r="H9" s="215" t="s">
        <v>176</v>
      </c>
      <c r="I9" s="216" t="s">
        <v>177</v>
      </c>
    </row>
    <row r="10" spans="1:11" x14ac:dyDescent="0.2">
      <c r="A10" s="210"/>
      <c r="B10" s="210" t="s">
        <v>194</v>
      </c>
      <c r="C10" s="210" t="e">
        <v>#NAME?</v>
      </c>
      <c r="D10" s="223"/>
      <c r="E10" s="224" t="e">
        <v>#NAME?</v>
      </c>
      <c r="F10" s="224"/>
      <c r="G10" s="210"/>
      <c r="H10" s="215" t="s">
        <v>178</v>
      </c>
      <c r="I10" s="216" t="s">
        <v>179</v>
      </c>
    </row>
    <row r="11" spans="1:11" x14ac:dyDescent="0.2">
      <c r="A11" s="210"/>
      <c r="B11" s="210" t="s">
        <v>209</v>
      </c>
      <c r="C11" s="210" t="e">
        <v>#NAME?</v>
      </c>
      <c r="D11" s="223"/>
      <c r="E11" s="224" t="e">
        <v>#NAME?</v>
      </c>
      <c r="F11" s="224"/>
      <c r="G11" s="210"/>
      <c r="H11" s="215" t="s">
        <v>180</v>
      </c>
      <c r="I11" s="216" t="s">
        <v>181</v>
      </c>
    </row>
    <row r="12" spans="1:11" x14ac:dyDescent="0.2">
      <c r="A12" s="210"/>
      <c r="B12" s="210" t="s">
        <v>185</v>
      </c>
      <c r="C12" s="210" t="e">
        <v>#NAME?</v>
      </c>
      <c r="D12" s="223"/>
      <c r="E12" s="224" t="e">
        <v>#NAME?</v>
      </c>
      <c r="F12" s="224"/>
      <c r="G12" s="210"/>
      <c r="H12" s="225" t="s">
        <v>182</v>
      </c>
      <c r="I12" s="226" t="s">
        <v>183</v>
      </c>
    </row>
    <row r="13" spans="1:11" x14ac:dyDescent="0.2">
      <c r="A13" s="210"/>
      <c r="B13" s="210" t="s">
        <v>184</v>
      </c>
      <c r="C13" s="210" t="e">
        <v>#NAME?</v>
      </c>
      <c r="D13" s="223"/>
      <c r="E13" s="224" t="e">
        <v>#NAME?</v>
      </c>
      <c r="F13" s="224"/>
      <c r="G13" s="210"/>
    </row>
    <row r="14" spans="1:11" x14ac:dyDescent="0.2">
      <c r="A14" s="210"/>
      <c r="B14" s="210" t="s">
        <v>188</v>
      </c>
      <c r="C14" s="210" t="e">
        <v>#NAME?</v>
      </c>
      <c r="D14" s="223"/>
      <c r="E14" s="224" t="e">
        <v>#NAME?</v>
      </c>
      <c r="F14" s="224"/>
      <c r="G14" s="210"/>
      <c r="H14" s="213" t="s">
        <v>161</v>
      </c>
      <c r="I14" s="214" t="s">
        <v>162</v>
      </c>
    </row>
    <row r="15" spans="1:11" x14ac:dyDescent="0.2">
      <c r="A15" s="210"/>
      <c r="B15" s="210" t="s">
        <v>189</v>
      </c>
      <c r="C15" s="210" t="e">
        <v>#NAME?</v>
      </c>
      <c r="D15" s="223"/>
      <c r="E15" s="224" t="e">
        <v>#NAME?</v>
      </c>
      <c r="F15" s="224"/>
      <c r="G15" s="210"/>
      <c r="H15" s="215" t="s">
        <v>163</v>
      </c>
      <c r="I15" s="216">
        <v>2011</v>
      </c>
    </row>
    <row r="16" spans="1:11" x14ac:dyDescent="0.2">
      <c r="A16" s="210"/>
      <c r="B16" s="210" t="s">
        <v>187</v>
      </c>
      <c r="C16" s="210" t="e">
        <v>#NAME?</v>
      </c>
      <c r="D16" s="223"/>
      <c r="E16" s="224" t="e">
        <v>#NAME?</v>
      </c>
      <c r="F16" s="224"/>
      <c r="G16" s="210"/>
      <c r="H16" s="215" t="s">
        <v>165</v>
      </c>
      <c r="I16" s="233" t="s">
        <v>190</v>
      </c>
    </row>
    <row r="17" spans="1:14" x14ac:dyDescent="0.2">
      <c r="A17" s="210"/>
      <c r="B17" s="210" t="s">
        <v>195</v>
      </c>
      <c r="C17" s="210" t="e">
        <v>#NAME?</v>
      </c>
      <c r="D17" s="223"/>
      <c r="E17" s="224" t="e">
        <v>#NAME?</v>
      </c>
      <c r="F17" s="224"/>
      <c r="G17" s="210"/>
      <c r="H17" s="215" t="s">
        <v>167</v>
      </c>
      <c r="I17" s="216" t="s">
        <v>168</v>
      </c>
    </row>
    <row r="18" spans="1:14" x14ac:dyDescent="0.2">
      <c r="A18" s="210"/>
      <c r="B18" s="210" t="s">
        <v>196</v>
      </c>
      <c r="C18" s="210" t="e">
        <v>#NAME?</v>
      </c>
      <c r="D18" s="223"/>
      <c r="E18" s="224" t="e">
        <v>#NAME?</v>
      </c>
      <c r="F18" s="224"/>
      <c r="G18" s="210"/>
      <c r="H18" s="215" t="s">
        <v>169</v>
      </c>
      <c r="I18" s="216" t="s">
        <v>192</v>
      </c>
      <c r="J18" t="s">
        <v>200</v>
      </c>
      <c r="K18" t="s">
        <v>203</v>
      </c>
      <c r="L18" t="s">
        <v>204</v>
      </c>
      <c r="M18" t="s">
        <v>206</v>
      </c>
      <c r="N18" s="184" t="s">
        <v>208</v>
      </c>
    </row>
    <row r="19" spans="1:14" x14ac:dyDescent="0.2">
      <c r="A19" s="210"/>
      <c r="B19" s="210" t="s">
        <v>186</v>
      </c>
      <c r="C19" s="227" t="e">
        <v>#NAME?</v>
      </c>
      <c r="D19" s="228"/>
      <c r="E19" s="229" t="e">
        <f>SUM(E9:E18)</f>
        <v>#NAME?</v>
      </c>
      <c r="F19" s="224"/>
      <c r="G19" s="210"/>
      <c r="H19" s="215" t="s">
        <v>172</v>
      </c>
      <c r="I19" s="233" t="s">
        <v>191</v>
      </c>
      <c r="J19" s="184" t="s">
        <v>173</v>
      </c>
    </row>
    <row r="20" spans="1:14" x14ac:dyDescent="0.2">
      <c r="A20" s="210"/>
      <c r="B20" s="210"/>
      <c r="C20" s="210"/>
      <c r="D20" s="230"/>
      <c r="E20" s="224"/>
      <c r="F20" s="224"/>
      <c r="G20" s="210"/>
      <c r="H20" s="215" t="s">
        <v>174</v>
      </c>
      <c r="I20" s="216" t="s">
        <v>175</v>
      </c>
    </row>
    <row r="21" spans="1:14" x14ac:dyDescent="0.2">
      <c r="A21" s="210"/>
      <c r="B21" s="110"/>
      <c r="C21" s="110"/>
      <c r="D21" s="110"/>
      <c r="E21" s="234"/>
      <c r="F21" s="232"/>
      <c r="H21" s="215" t="s">
        <v>176</v>
      </c>
      <c r="I21" s="216" t="s">
        <v>177</v>
      </c>
    </row>
    <row r="22" spans="1:14" x14ac:dyDescent="0.2">
      <c r="A22" s="210"/>
      <c r="B22" s="210"/>
      <c r="C22" s="235" t="s">
        <v>199</v>
      </c>
      <c r="D22" s="210"/>
      <c r="E22" s="211"/>
      <c r="H22" s="215" t="s">
        <v>178</v>
      </c>
      <c r="I22" s="216" t="s">
        <v>179</v>
      </c>
    </row>
    <row r="23" spans="1:14" x14ac:dyDescent="0.2">
      <c r="A23" s="210"/>
      <c r="B23" s="210"/>
      <c r="C23" s="210" t="s">
        <v>198</v>
      </c>
      <c r="D23" s="210"/>
      <c r="E23" s="211"/>
      <c r="H23" s="215" t="s">
        <v>180</v>
      </c>
      <c r="I23" s="216" t="s">
        <v>181</v>
      </c>
    </row>
    <row r="24" spans="1:14" x14ac:dyDescent="0.2">
      <c r="A24" s="210"/>
      <c r="B24" s="210"/>
      <c r="C24" s="210"/>
      <c r="D24" s="210"/>
      <c r="E24" s="217" t="s">
        <v>164</v>
      </c>
      <c r="H24" s="225" t="s">
        <v>182</v>
      </c>
      <c r="I24" s="226" t="s">
        <v>183</v>
      </c>
    </row>
    <row r="25" spans="1:14" x14ac:dyDescent="0.2">
      <c r="A25" s="210"/>
      <c r="B25" s="210"/>
      <c r="C25" s="218"/>
      <c r="D25" s="219"/>
      <c r="E25" s="217" t="s">
        <v>1</v>
      </c>
    </row>
    <row r="26" spans="1:14" x14ac:dyDescent="0.2">
      <c r="A26" s="210"/>
      <c r="B26" s="210"/>
      <c r="C26" s="218"/>
      <c r="D26" s="219"/>
      <c r="E26" s="212">
        <v>2011</v>
      </c>
    </row>
    <row r="27" spans="1:14" x14ac:dyDescent="0.2">
      <c r="A27" s="210"/>
      <c r="B27" s="218" t="s">
        <v>171</v>
      </c>
      <c r="C27" s="220"/>
      <c r="D27" s="221"/>
      <c r="E27" s="222" t="s">
        <v>2</v>
      </c>
    </row>
    <row r="28" spans="1:14" x14ac:dyDescent="0.2">
      <c r="A28" s="210"/>
      <c r="B28" s="210"/>
      <c r="C28" s="210"/>
      <c r="D28" s="210"/>
      <c r="E28" s="211"/>
    </row>
    <row r="29" spans="1:14" x14ac:dyDescent="0.2">
      <c r="A29" s="210"/>
      <c r="B29" s="210" t="s">
        <v>193</v>
      </c>
      <c r="C29" s="210" t="e">
        <v>#NAME?</v>
      </c>
      <c r="D29" s="223"/>
      <c r="E29" s="224" t="e">
        <v>#NAME?</v>
      </c>
    </row>
    <row r="30" spans="1:14" x14ac:dyDescent="0.2">
      <c r="A30" s="210"/>
      <c r="B30" s="210" t="s">
        <v>194</v>
      </c>
      <c r="C30" s="210" t="e">
        <v>#NAME?</v>
      </c>
      <c r="D30" s="223"/>
      <c r="E30" s="224" t="e">
        <v>#NAME?</v>
      </c>
    </row>
    <row r="31" spans="1:14" x14ac:dyDescent="0.2">
      <c r="A31" s="210"/>
      <c r="B31" s="210" t="s">
        <v>209</v>
      </c>
      <c r="C31" s="210" t="e">
        <v>#NAME?</v>
      </c>
      <c r="D31" s="223"/>
      <c r="E31" s="224" t="e">
        <v>#NAME?</v>
      </c>
    </row>
    <row r="32" spans="1:14" x14ac:dyDescent="0.2">
      <c r="A32" s="210"/>
      <c r="B32" s="210" t="s">
        <v>185</v>
      </c>
      <c r="C32" s="210" t="e">
        <v>#NAME?</v>
      </c>
      <c r="D32" s="223"/>
      <c r="E32" s="224" t="e">
        <v>#NAME?</v>
      </c>
    </row>
    <row r="33" spans="1:5" x14ac:dyDescent="0.2">
      <c r="A33" s="210"/>
      <c r="B33" s="210" t="s">
        <v>184</v>
      </c>
      <c r="C33" s="210" t="e">
        <v>#NAME?</v>
      </c>
      <c r="D33" s="223"/>
      <c r="E33" s="224" t="e">
        <v>#NAME?</v>
      </c>
    </row>
    <row r="34" spans="1:5" x14ac:dyDescent="0.2">
      <c r="A34" s="210"/>
      <c r="B34" s="210" t="s">
        <v>188</v>
      </c>
      <c r="C34" s="210" t="e">
        <v>#NAME?</v>
      </c>
      <c r="D34" s="223"/>
      <c r="E34" s="224" t="e">
        <v>#NAME?</v>
      </c>
    </row>
    <row r="35" spans="1:5" x14ac:dyDescent="0.2">
      <c r="B35" s="210" t="s">
        <v>189</v>
      </c>
      <c r="C35" s="210" t="e">
        <v>#NAME?</v>
      </c>
      <c r="D35" s="223"/>
      <c r="E35" s="224" t="e">
        <v>#NAME?</v>
      </c>
    </row>
    <row r="36" spans="1:5" x14ac:dyDescent="0.2">
      <c r="B36" s="210" t="s">
        <v>187</v>
      </c>
      <c r="C36" s="210" t="e">
        <v>#NAME?</v>
      </c>
      <c r="D36" s="223"/>
      <c r="E36" s="224" t="e">
        <v>#NAME?</v>
      </c>
    </row>
    <row r="37" spans="1:5" x14ac:dyDescent="0.2">
      <c r="B37" s="210" t="s">
        <v>195</v>
      </c>
      <c r="C37" s="210" t="e">
        <v>#NAME?</v>
      </c>
      <c r="D37" s="223"/>
      <c r="E37" s="224" t="e">
        <v>#NAME?</v>
      </c>
    </row>
    <row r="38" spans="1:5" x14ac:dyDescent="0.2">
      <c r="B38" s="210" t="s">
        <v>196</v>
      </c>
      <c r="C38" s="210" t="e">
        <v>#NAME?</v>
      </c>
      <c r="D38" s="223"/>
      <c r="E38" s="224" t="e">
        <v>#NAME?</v>
      </c>
    </row>
    <row r="39" spans="1:5" x14ac:dyDescent="0.2">
      <c r="B39" s="210" t="s">
        <v>186</v>
      </c>
      <c r="C39" s="227" t="e">
        <v>#NAME?</v>
      </c>
      <c r="D39" s="228"/>
      <c r="E39" s="229" t="e">
        <f>SUM(E29:E38)</f>
        <v>#NAME?</v>
      </c>
    </row>
    <row r="42" spans="1:5" x14ac:dyDescent="0.2">
      <c r="B42" s="210"/>
      <c r="C42" s="235" t="s">
        <v>201</v>
      </c>
      <c r="D42" s="210"/>
      <c r="E42" s="211"/>
    </row>
    <row r="43" spans="1:5" x14ac:dyDescent="0.2">
      <c r="B43" s="210"/>
      <c r="C43" s="210" t="s">
        <v>198</v>
      </c>
      <c r="D43" s="210"/>
      <c r="E43" s="211"/>
    </row>
    <row r="44" spans="1:5" x14ac:dyDescent="0.2">
      <c r="B44" s="210"/>
      <c r="C44" s="210"/>
      <c r="D44" s="210"/>
      <c r="E44" s="217" t="s">
        <v>164</v>
      </c>
    </row>
    <row r="45" spans="1:5" x14ac:dyDescent="0.2">
      <c r="B45" s="210"/>
      <c r="C45" s="218"/>
      <c r="D45" s="219"/>
      <c r="E45" s="217" t="s">
        <v>1</v>
      </c>
    </row>
    <row r="46" spans="1:5" x14ac:dyDescent="0.2">
      <c r="B46" s="210"/>
      <c r="C46" s="218"/>
      <c r="D46" s="219"/>
      <c r="E46" s="212">
        <v>2011</v>
      </c>
    </row>
    <row r="47" spans="1:5" x14ac:dyDescent="0.2">
      <c r="B47" s="218" t="s">
        <v>171</v>
      </c>
      <c r="C47" s="220"/>
      <c r="D47" s="221"/>
      <c r="E47" s="222" t="s">
        <v>2</v>
      </c>
    </row>
    <row r="48" spans="1:5" x14ac:dyDescent="0.2">
      <c r="B48" s="210"/>
      <c r="C48" s="210"/>
      <c r="D48" s="210"/>
      <c r="E48" s="211"/>
    </row>
    <row r="49" spans="2:5" x14ac:dyDescent="0.2">
      <c r="B49" s="210" t="s">
        <v>193</v>
      </c>
      <c r="C49" s="210" t="e">
        <v>#NAME?</v>
      </c>
      <c r="D49" s="223"/>
      <c r="E49" s="224" t="e">
        <v>#NAME?</v>
      </c>
    </row>
    <row r="50" spans="2:5" x14ac:dyDescent="0.2">
      <c r="B50" s="210" t="s">
        <v>194</v>
      </c>
      <c r="C50" s="210" t="e">
        <v>#NAME?</v>
      </c>
      <c r="D50" s="223"/>
      <c r="E50" s="224" t="e">
        <v>#NAME?</v>
      </c>
    </row>
    <row r="51" spans="2:5" x14ac:dyDescent="0.2">
      <c r="B51" s="210" t="s">
        <v>209</v>
      </c>
      <c r="C51" s="210" t="e">
        <v>#NAME?</v>
      </c>
      <c r="D51" s="223"/>
      <c r="E51" s="224" t="e">
        <v>#NAME?</v>
      </c>
    </row>
    <row r="52" spans="2:5" x14ac:dyDescent="0.2">
      <c r="B52" s="210" t="s">
        <v>185</v>
      </c>
      <c r="C52" s="210" t="e">
        <v>#NAME?</v>
      </c>
      <c r="D52" s="223"/>
      <c r="E52" s="224" t="e">
        <v>#NAME?</v>
      </c>
    </row>
    <row r="53" spans="2:5" x14ac:dyDescent="0.2">
      <c r="B53" s="210" t="s">
        <v>184</v>
      </c>
      <c r="C53" s="210" t="e">
        <v>#NAME?</v>
      </c>
      <c r="D53" s="223"/>
      <c r="E53" s="224" t="e">
        <v>#NAME?</v>
      </c>
    </row>
    <row r="54" spans="2:5" x14ac:dyDescent="0.2">
      <c r="B54" s="210" t="s">
        <v>188</v>
      </c>
      <c r="C54" s="210" t="e">
        <v>#NAME?</v>
      </c>
      <c r="D54" s="223"/>
      <c r="E54" s="224" t="e">
        <v>#NAME?</v>
      </c>
    </row>
    <row r="55" spans="2:5" x14ac:dyDescent="0.2">
      <c r="B55" s="210" t="s">
        <v>189</v>
      </c>
      <c r="C55" s="210" t="e">
        <v>#NAME?</v>
      </c>
      <c r="D55" s="223"/>
      <c r="E55" s="224" t="e">
        <v>#NAME?</v>
      </c>
    </row>
    <row r="56" spans="2:5" x14ac:dyDescent="0.2">
      <c r="B56" s="210" t="s">
        <v>187</v>
      </c>
      <c r="C56" s="210" t="e">
        <v>#NAME?</v>
      </c>
      <c r="D56" s="223"/>
      <c r="E56" s="224" t="e">
        <v>#NAME?</v>
      </c>
    </row>
    <row r="57" spans="2:5" x14ac:dyDescent="0.2">
      <c r="B57" s="210" t="s">
        <v>195</v>
      </c>
      <c r="C57" s="210" t="e">
        <v>#NAME?</v>
      </c>
      <c r="D57" s="223"/>
      <c r="E57" s="224" t="e">
        <v>#NAME?</v>
      </c>
    </row>
    <row r="58" spans="2:5" x14ac:dyDescent="0.2">
      <c r="B58" s="210" t="s">
        <v>196</v>
      </c>
      <c r="C58" s="210" t="e">
        <v>#NAME?</v>
      </c>
      <c r="D58" s="223"/>
      <c r="E58" s="224" t="e">
        <v>#NAME?</v>
      </c>
    </row>
    <row r="59" spans="2:5" x14ac:dyDescent="0.2">
      <c r="B59" s="210" t="s">
        <v>186</v>
      </c>
      <c r="C59" s="227" t="e">
        <v>#NAME?</v>
      </c>
      <c r="D59" s="228"/>
      <c r="E59" s="229" t="e">
        <f>SUM(E49:E58)</f>
        <v>#NAME?</v>
      </c>
    </row>
    <row r="61" spans="2:5" x14ac:dyDescent="0.2">
      <c r="B61" s="210"/>
      <c r="C61" s="235" t="s">
        <v>202</v>
      </c>
      <c r="D61" s="210"/>
      <c r="E61" s="211"/>
    </row>
    <row r="62" spans="2:5" x14ac:dyDescent="0.2">
      <c r="B62" s="210"/>
      <c r="C62" s="210" t="s">
        <v>198</v>
      </c>
      <c r="D62" s="210"/>
      <c r="E62" s="211"/>
    </row>
    <row r="63" spans="2:5" x14ac:dyDescent="0.2">
      <c r="B63" s="210"/>
      <c r="C63" s="210"/>
      <c r="D63" s="210"/>
      <c r="E63" s="217" t="s">
        <v>164</v>
      </c>
    </row>
    <row r="64" spans="2:5" x14ac:dyDescent="0.2">
      <c r="B64" s="210"/>
      <c r="C64" s="218"/>
      <c r="D64" s="219"/>
      <c r="E64" s="217" t="s">
        <v>1</v>
      </c>
    </row>
    <row r="65" spans="2:5" x14ac:dyDescent="0.2">
      <c r="B65" s="210"/>
      <c r="C65" s="218"/>
      <c r="D65" s="219"/>
      <c r="E65" s="212">
        <v>2011</v>
      </c>
    </row>
    <row r="66" spans="2:5" x14ac:dyDescent="0.2">
      <c r="B66" s="218" t="s">
        <v>171</v>
      </c>
      <c r="C66" s="220"/>
      <c r="D66" s="221"/>
      <c r="E66" s="222" t="s">
        <v>2</v>
      </c>
    </row>
    <row r="67" spans="2:5" x14ac:dyDescent="0.2">
      <c r="B67" s="210"/>
      <c r="C67" s="210"/>
      <c r="D67" s="210"/>
      <c r="E67" s="211"/>
    </row>
    <row r="68" spans="2:5" x14ac:dyDescent="0.2">
      <c r="B68" s="210" t="s">
        <v>193</v>
      </c>
      <c r="C68" s="210" t="e">
        <v>#NAME?</v>
      </c>
      <c r="D68" s="223"/>
      <c r="E68" s="224" t="e">
        <v>#NAME?</v>
      </c>
    </row>
    <row r="69" spans="2:5" x14ac:dyDescent="0.2">
      <c r="B69" s="210" t="s">
        <v>194</v>
      </c>
      <c r="C69" s="210" t="e">
        <v>#NAME?</v>
      </c>
      <c r="D69" s="223"/>
      <c r="E69" s="224" t="e">
        <v>#NAME?</v>
      </c>
    </row>
    <row r="70" spans="2:5" x14ac:dyDescent="0.2">
      <c r="B70" s="210" t="s">
        <v>209</v>
      </c>
      <c r="C70" s="210" t="e">
        <v>#NAME?</v>
      </c>
      <c r="D70" s="223"/>
      <c r="E70" s="224" t="e">
        <v>#NAME?</v>
      </c>
    </row>
    <row r="71" spans="2:5" x14ac:dyDescent="0.2">
      <c r="B71" s="210" t="s">
        <v>185</v>
      </c>
      <c r="C71" s="210" t="e">
        <v>#NAME?</v>
      </c>
      <c r="D71" s="223"/>
      <c r="E71" s="224" t="e">
        <v>#NAME?</v>
      </c>
    </row>
    <row r="72" spans="2:5" x14ac:dyDescent="0.2">
      <c r="B72" s="210" t="s">
        <v>184</v>
      </c>
      <c r="C72" s="210" t="e">
        <v>#NAME?</v>
      </c>
      <c r="D72" s="223"/>
      <c r="E72" s="224" t="e">
        <v>#NAME?</v>
      </c>
    </row>
    <row r="73" spans="2:5" x14ac:dyDescent="0.2">
      <c r="B73" s="210" t="s">
        <v>188</v>
      </c>
      <c r="C73" s="210" t="e">
        <v>#NAME?</v>
      </c>
      <c r="D73" s="223"/>
      <c r="E73" s="224" t="e">
        <v>#NAME?</v>
      </c>
    </row>
    <row r="74" spans="2:5" x14ac:dyDescent="0.2">
      <c r="B74" s="210" t="s">
        <v>189</v>
      </c>
      <c r="C74" s="210" t="e">
        <v>#NAME?</v>
      </c>
      <c r="D74" s="223"/>
      <c r="E74" s="224" t="e">
        <v>#NAME?</v>
      </c>
    </row>
    <row r="75" spans="2:5" x14ac:dyDescent="0.2">
      <c r="B75" s="210" t="s">
        <v>187</v>
      </c>
      <c r="C75" s="210" t="e">
        <v>#NAME?</v>
      </c>
      <c r="D75" s="223"/>
      <c r="E75" s="224" t="e">
        <v>#NAME?</v>
      </c>
    </row>
    <row r="76" spans="2:5" x14ac:dyDescent="0.2">
      <c r="B76" s="210" t="s">
        <v>195</v>
      </c>
      <c r="C76" s="210" t="e">
        <v>#NAME?</v>
      </c>
      <c r="D76" s="223"/>
      <c r="E76" s="224" t="e">
        <v>#NAME?</v>
      </c>
    </row>
    <row r="77" spans="2:5" x14ac:dyDescent="0.2">
      <c r="B77" s="210" t="s">
        <v>196</v>
      </c>
      <c r="C77" s="210" t="e">
        <v>#NAME?</v>
      </c>
      <c r="D77" s="223"/>
      <c r="E77" s="224" t="e">
        <v>#NAME?</v>
      </c>
    </row>
    <row r="78" spans="2:5" x14ac:dyDescent="0.2">
      <c r="B78" s="210" t="s">
        <v>186</v>
      </c>
      <c r="C78" s="227" t="e">
        <v>#NAME?</v>
      </c>
      <c r="D78" s="228"/>
      <c r="E78" s="229" t="e">
        <f>SUM(E68:E77)</f>
        <v>#NAME?</v>
      </c>
    </row>
    <row r="80" spans="2:5" x14ac:dyDescent="0.2">
      <c r="B80" s="210"/>
      <c r="C80" s="235" t="s">
        <v>207</v>
      </c>
      <c r="D80" s="210"/>
      <c r="E80" s="211"/>
    </row>
    <row r="81" spans="2:5" x14ac:dyDescent="0.2">
      <c r="B81" s="210"/>
      <c r="C81" s="210" t="s">
        <v>198</v>
      </c>
      <c r="D81" s="210"/>
      <c r="E81" s="211"/>
    </row>
    <row r="82" spans="2:5" x14ac:dyDescent="0.2">
      <c r="B82" s="210"/>
      <c r="C82" s="210"/>
      <c r="D82" s="210"/>
      <c r="E82" s="217" t="s">
        <v>164</v>
      </c>
    </row>
    <row r="83" spans="2:5" x14ac:dyDescent="0.2">
      <c r="B83" s="210"/>
      <c r="C83" s="218"/>
      <c r="D83" s="219"/>
      <c r="E83" s="217" t="s">
        <v>1</v>
      </c>
    </row>
    <row r="84" spans="2:5" x14ac:dyDescent="0.2">
      <c r="B84" s="210"/>
      <c r="C84" s="218"/>
      <c r="D84" s="219"/>
      <c r="E84" s="212">
        <v>2011</v>
      </c>
    </row>
    <row r="85" spans="2:5" x14ac:dyDescent="0.2">
      <c r="B85" s="218" t="s">
        <v>171</v>
      </c>
      <c r="C85" s="220"/>
      <c r="D85" s="221"/>
      <c r="E85" s="222" t="s">
        <v>2</v>
      </c>
    </row>
    <row r="86" spans="2:5" x14ac:dyDescent="0.2">
      <c r="B86" s="210"/>
      <c r="C86" s="210"/>
      <c r="D86" s="210"/>
      <c r="E86" s="211"/>
    </row>
    <row r="87" spans="2:5" x14ac:dyDescent="0.2">
      <c r="B87" s="210" t="s">
        <v>193</v>
      </c>
      <c r="C87" s="210" t="e">
        <v>#NAME?</v>
      </c>
      <c r="D87" s="223"/>
      <c r="E87" s="224" t="e">
        <v>#NAME?</v>
      </c>
    </row>
    <row r="88" spans="2:5" x14ac:dyDescent="0.2">
      <c r="B88" s="210" t="s">
        <v>194</v>
      </c>
      <c r="C88" s="210" t="e">
        <v>#NAME?</v>
      </c>
      <c r="D88" s="223"/>
      <c r="E88" s="224" t="e">
        <v>#NAME?</v>
      </c>
    </row>
    <row r="89" spans="2:5" x14ac:dyDescent="0.2">
      <c r="B89" s="210" t="s">
        <v>209</v>
      </c>
      <c r="C89" s="210" t="e">
        <v>#NAME?</v>
      </c>
      <c r="D89" s="223"/>
      <c r="E89" s="224" t="e">
        <v>#NAME?</v>
      </c>
    </row>
    <row r="90" spans="2:5" x14ac:dyDescent="0.2">
      <c r="B90" s="210" t="s">
        <v>185</v>
      </c>
      <c r="C90" s="210" t="e">
        <v>#NAME?</v>
      </c>
      <c r="D90" s="223"/>
      <c r="E90" s="224" t="e">
        <v>#NAME?</v>
      </c>
    </row>
    <row r="91" spans="2:5" x14ac:dyDescent="0.2">
      <c r="B91" s="210" t="s">
        <v>184</v>
      </c>
      <c r="C91" s="210" t="e">
        <v>#NAME?</v>
      </c>
      <c r="D91" s="223"/>
      <c r="E91" s="224" t="e">
        <v>#NAME?</v>
      </c>
    </row>
    <row r="92" spans="2:5" x14ac:dyDescent="0.2">
      <c r="B92" s="210" t="s">
        <v>188</v>
      </c>
      <c r="C92" s="210" t="e">
        <v>#NAME?</v>
      </c>
      <c r="D92" s="223"/>
      <c r="E92" s="224" t="e">
        <v>#NAME?</v>
      </c>
    </row>
    <row r="93" spans="2:5" x14ac:dyDescent="0.2">
      <c r="B93" s="210" t="s">
        <v>189</v>
      </c>
      <c r="C93" s="210" t="e">
        <v>#NAME?</v>
      </c>
      <c r="D93" s="223"/>
      <c r="E93" s="224" t="e">
        <v>#NAME?</v>
      </c>
    </row>
    <row r="94" spans="2:5" x14ac:dyDescent="0.2">
      <c r="B94" s="210" t="s">
        <v>187</v>
      </c>
      <c r="C94" s="210" t="e">
        <v>#NAME?</v>
      </c>
      <c r="D94" s="223"/>
      <c r="E94" s="224" t="e">
        <v>#NAME?</v>
      </c>
    </row>
    <row r="95" spans="2:5" x14ac:dyDescent="0.2">
      <c r="B95" s="210" t="s">
        <v>195</v>
      </c>
      <c r="C95" s="210" t="e">
        <v>#NAME?</v>
      </c>
      <c r="D95" s="223"/>
      <c r="E95" s="224" t="e">
        <v>#NAME?</v>
      </c>
    </row>
    <row r="96" spans="2:5" x14ac:dyDescent="0.2">
      <c r="B96" s="210" t="s">
        <v>196</v>
      </c>
      <c r="C96" s="210" t="e">
        <v>#NAME?</v>
      </c>
      <c r="D96" s="223"/>
      <c r="E96" s="224" t="e">
        <v>#NAME?</v>
      </c>
    </row>
    <row r="97" spans="2:5" x14ac:dyDescent="0.2">
      <c r="B97" s="210" t="s">
        <v>186</v>
      </c>
      <c r="C97" s="227" t="e">
        <v>#NAME?</v>
      </c>
      <c r="D97" s="228"/>
      <c r="E97" s="229" t="e">
        <f>SUM(E87:E96)</f>
        <v>#NAME?</v>
      </c>
    </row>
    <row r="99" spans="2:5" x14ac:dyDescent="0.2">
      <c r="B99" s="210"/>
      <c r="C99" s="235" t="s">
        <v>205</v>
      </c>
      <c r="D99" s="210"/>
      <c r="E99" s="211"/>
    </row>
    <row r="100" spans="2:5" x14ac:dyDescent="0.2">
      <c r="B100" s="210"/>
      <c r="C100" s="210" t="s">
        <v>198</v>
      </c>
      <c r="D100" s="210"/>
      <c r="E100" s="211"/>
    </row>
    <row r="101" spans="2:5" x14ac:dyDescent="0.2">
      <c r="B101" s="210"/>
      <c r="C101" s="210"/>
      <c r="D101" s="210"/>
      <c r="E101" s="217" t="s">
        <v>164</v>
      </c>
    </row>
    <row r="102" spans="2:5" x14ac:dyDescent="0.2">
      <c r="B102" s="210"/>
      <c r="C102" s="218"/>
      <c r="D102" s="219"/>
      <c r="E102" s="217" t="s">
        <v>1</v>
      </c>
    </row>
    <row r="103" spans="2:5" x14ac:dyDescent="0.2">
      <c r="B103" s="210"/>
      <c r="C103" s="218"/>
      <c r="D103" s="219"/>
      <c r="E103" s="212">
        <v>2011</v>
      </c>
    </row>
    <row r="104" spans="2:5" x14ac:dyDescent="0.2">
      <c r="B104" s="218" t="s">
        <v>171</v>
      </c>
      <c r="C104" s="220"/>
      <c r="D104" s="221"/>
      <c r="E104" s="222" t="s">
        <v>2</v>
      </c>
    </row>
    <row r="105" spans="2:5" x14ac:dyDescent="0.2">
      <c r="B105" s="210"/>
      <c r="C105" s="210"/>
      <c r="D105" s="210"/>
      <c r="E105" s="211"/>
    </row>
    <row r="106" spans="2:5" x14ac:dyDescent="0.2">
      <c r="B106" s="210" t="s">
        <v>193</v>
      </c>
      <c r="C106" s="210" t="e">
        <v>#NAME?</v>
      </c>
      <c r="D106" s="223"/>
      <c r="E106" s="224" t="e">
        <v>#NAME?</v>
      </c>
    </row>
    <row r="107" spans="2:5" x14ac:dyDescent="0.2">
      <c r="B107" s="210" t="s">
        <v>194</v>
      </c>
      <c r="C107" s="210" t="e">
        <v>#NAME?</v>
      </c>
      <c r="D107" s="223"/>
      <c r="E107" s="224" t="e">
        <v>#NAME?</v>
      </c>
    </row>
    <row r="108" spans="2:5" x14ac:dyDescent="0.2">
      <c r="B108" s="210" t="s">
        <v>209</v>
      </c>
      <c r="C108" s="210" t="e">
        <v>#NAME?</v>
      </c>
      <c r="D108" s="223"/>
      <c r="E108" s="224" t="e">
        <v>#NAME?</v>
      </c>
    </row>
    <row r="109" spans="2:5" x14ac:dyDescent="0.2">
      <c r="B109" s="210" t="s">
        <v>185</v>
      </c>
      <c r="C109" s="210" t="e">
        <v>#NAME?</v>
      </c>
      <c r="D109" s="223"/>
      <c r="E109" s="224" t="e">
        <v>#NAME?</v>
      </c>
    </row>
    <row r="110" spans="2:5" x14ac:dyDescent="0.2">
      <c r="B110" s="210" t="s">
        <v>184</v>
      </c>
      <c r="C110" s="210" t="e">
        <v>#NAME?</v>
      </c>
      <c r="D110" s="223"/>
      <c r="E110" s="224" t="e">
        <v>#NAME?</v>
      </c>
    </row>
    <row r="111" spans="2:5" x14ac:dyDescent="0.2">
      <c r="B111" s="210" t="s">
        <v>188</v>
      </c>
      <c r="C111" s="210" t="e">
        <v>#NAME?</v>
      </c>
      <c r="D111" s="223"/>
      <c r="E111" s="224" t="e">
        <v>#NAME?</v>
      </c>
    </row>
    <row r="112" spans="2:5" x14ac:dyDescent="0.2">
      <c r="B112" s="210" t="s">
        <v>189</v>
      </c>
      <c r="C112" s="210" t="e">
        <v>#NAME?</v>
      </c>
      <c r="D112" s="223"/>
      <c r="E112" s="224" t="e">
        <v>#NAME?</v>
      </c>
    </row>
    <row r="113" spans="2:5" x14ac:dyDescent="0.2">
      <c r="B113" s="210" t="s">
        <v>187</v>
      </c>
      <c r="C113" s="210" t="e">
        <v>#NAME?</v>
      </c>
      <c r="D113" s="223"/>
      <c r="E113" s="224" t="e">
        <v>#NAME?</v>
      </c>
    </row>
    <row r="114" spans="2:5" x14ac:dyDescent="0.2">
      <c r="B114" s="210" t="s">
        <v>195</v>
      </c>
      <c r="C114" s="210" t="e">
        <v>#NAME?</v>
      </c>
      <c r="D114" s="223"/>
      <c r="E114" s="224" t="e">
        <v>#NAME?</v>
      </c>
    </row>
    <row r="115" spans="2:5" x14ac:dyDescent="0.2">
      <c r="B115" s="210" t="s">
        <v>196</v>
      </c>
      <c r="C115" s="210" t="e">
        <v>#NAME?</v>
      </c>
      <c r="D115" s="223"/>
      <c r="E115" s="224" t="e">
        <v>#NAME?</v>
      </c>
    </row>
    <row r="116" spans="2:5" x14ac:dyDescent="0.2">
      <c r="B116" s="210" t="s">
        <v>186</v>
      </c>
      <c r="C116" s="227" t="e">
        <v>#NAME?</v>
      </c>
      <c r="D116" s="228"/>
      <c r="E116" s="229" t="e">
        <f>SUM(E106:E115)</f>
        <v>#NAME?</v>
      </c>
    </row>
    <row r="118" spans="2:5" x14ac:dyDescent="0.2">
      <c r="B118" s="210"/>
      <c r="C118" s="235" t="s">
        <v>210</v>
      </c>
      <c r="D118" s="210"/>
      <c r="E118" s="211"/>
    </row>
    <row r="119" spans="2:5" x14ac:dyDescent="0.2">
      <c r="B119" s="210"/>
      <c r="C119" s="210" t="s">
        <v>198</v>
      </c>
      <c r="D119" s="210"/>
      <c r="E119" s="211"/>
    </row>
    <row r="120" spans="2:5" x14ac:dyDescent="0.2">
      <c r="B120" s="210"/>
      <c r="C120" s="210"/>
      <c r="D120" s="210"/>
      <c r="E120" s="217" t="s">
        <v>164</v>
      </c>
    </row>
    <row r="121" spans="2:5" x14ac:dyDescent="0.2">
      <c r="B121" s="210"/>
      <c r="C121" s="218"/>
      <c r="D121" s="219"/>
      <c r="E121" s="217" t="s">
        <v>1</v>
      </c>
    </row>
    <row r="122" spans="2:5" x14ac:dyDescent="0.2">
      <c r="B122" s="210"/>
      <c r="C122" s="218"/>
      <c r="D122" s="219"/>
      <c r="E122" s="212">
        <v>2011</v>
      </c>
    </row>
    <row r="123" spans="2:5" x14ac:dyDescent="0.2">
      <c r="B123" s="218" t="s">
        <v>171</v>
      </c>
      <c r="C123" s="220"/>
      <c r="D123" s="221"/>
      <c r="E123" s="222" t="s">
        <v>2</v>
      </c>
    </row>
    <row r="124" spans="2:5" x14ac:dyDescent="0.2">
      <c r="B124" s="210"/>
      <c r="C124" s="210"/>
      <c r="D124" s="210"/>
      <c r="E124" s="211"/>
    </row>
    <row r="125" spans="2:5" x14ac:dyDescent="0.2">
      <c r="B125" s="210" t="s">
        <v>193</v>
      </c>
      <c r="C125" s="210" t="e">
        <v>#NAME?</v>
      </c>
      <c r="D125" s="223"/>
      <c r="E125" s="224" t="e">
        <f>E106-SUM(E87,E68,E49,E29,E9)</f>
        <v>#NAME?</v>
      </c>
    </row>
    <row r="126" spans="2:5" x14ac:dyDescent="0.2">
      <c r="B126" s="210" t="s">
        <v>194</v>
      </c>
      <c r="C126" s="210" t="e">
        <v>#NAME?</v>
      </c>
      <c r="D126" s="223"/>
      <c r="E126" s="224" t="e">
        <f t="shared" ref="E126:E134" si="0">E107-SUM(E88,E69,E50,E30,E10)</f>
        <v>#NAME?</v>
      </c>
    </row>
    <row r="127" spans="2:5" x14ac:dyDescent="0.2">
      <c r="B127" s="210" t="s">
        <v>209</v>
      </c>
      <c r="C127" s="210" t="e">
        <v>#NAME?</v>
      </c>
      <c r="D127" s="223"/>
      <c r="E127" s="224" t="e">
        <f t="shared" si="0"/>
        <v>#NAME?</v>
      </c>
    </row>
    <row r="128" spans="2:5" x14ac:dyDescent="0.2">
      <c r="B128" s="210" t="s">
        <v>185</v>
      </c>
      <c r="C128" s="210" t="e">
        <v>#NAME?</v>
      </c>
      <c r="D128" s="223"/>
      <c r="E128" s="224" t="e">
        <f t="shared" si="0"/>
        <v>#NAME?</v>
      </c>
    </row>
    <row r="129" spans="2:5" x14ac:dyDescent="0.2">
      <c r="B129" s="210" t="s">
        <v>184</v>
      </c>
      <c r="C129" s="210" t="e">
        <v>#NAME?</v>
      </c>
      <c r="D129" s="223"/>
      <c r="E129" s="224" t="e">
        <f t="shared" si="0"/>
        <v>#NAME?</v>
      </c>
    </row>
    <row r="130" spans="2:5" x14ac:dyDescent="0.2">
      <c r="B130" s="210" t="s">
        <v>188</v>
      </c>
      <c r="C130" s="210" t="e">
        <v>#NAME?</v>
      </c>
      <c r="D130" s="223"/>
      <c r="E130" s="224" t="e">
        <f t="shared" si="0"/>
        <v>#NAME?</v>
      </c>
    </row>
    <row r="131" spans="2:5" x14ac:dyDescent="0.2">
      <c r="B131" s="210" t="s">
        <v>189</v>
      </c>
      <c r="C131" s="210" t="e">
        <v>#NAME?</v>
      </c>
      <c r="D131" s="223"/>
      <c r="E131" s="224" t="e">
        <f t="shared" si="0"/>
        <v>#NAME?</v>
      </c>
    </row>
    <row r="132" spans="2:5" x14ac:dyDescent="0.2">
      <c r="B132" s="210" t="s">
        <v>187</v>
      </c>
      <c r="C132" s="210" t="e">
        <v>#NAME?</v>
      </c>
      <c r="D132" s="223"/>
      <c r="E132" s="224" t="e">
        <f t="shared" si="0"/>
        <v>#NAME?</v>
      </c>
    </row>
    <row r="133" spans="2:5" x14ac:dyDescent="0.2">
      <c r="B133" s="210" t="s">
        <v>195</v>
      </c>
      <c r="C133" s="210" t="e">
        <v>#NAME?</v>
      </c>
      <c r="D133" s="223"/>
      <c r="E133" s="224" t="e">
        <f t="shared" si="0"/>
        <v>#NAME?</v>
      </c>
    </row>
    <row r="134" spans="2:5" x14ac:dyDescent="0.2">
      <c r="B134" s="210" t="s">
        <v>196</v>
      </c>
      <c r="C134" s="210" t="e">
        <v>#NAME?</v>
      </c>
      <c r="D134" s="223"/>
      <c r="E134" s="224" t="e">
        <f t="shared" si="0"/>
        <v>#NAME?</v>
      </c>
    </row>
    <row r="135" spans="2:5" x14ac:dyDescent="0.2">
      <c r="B135" s="210" t="s">
        <v>186</v>
      </c>
      <c r="C135" s="227" t="e">
        <v>#NAME?</v>
      </c>
      <c r="D135" s="228"/>
      <c r="E135" s="229" t="e">
        <f>SUM(E125:E134)</f>
        <v>#NAME?</v>
      </c>
    </row>
  </sheetData>
  <pageMargins left="0.70866141732283472" right="0.70866141732283472" top="0.74803149606299213" bottom="0.74803149606299213" header="0.31496062992125984" footer="0.31496062992125984"/>
  <pageSetup paperSize="9" scale="57" fitToHeight="2" orientation="landscape" r:id="rId1"/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B2:Q91"/>
  <sheetViews>
    <sheetView topLeftCell="A4" zoomScale="80" zoomScaleNormal="80" workbookViewId="0"/>
  </sheetViews>
  <sheetFormatPr defaultColWidth="4.7109375" defaultRowHeight="12.75" outlineLevelRow="1" x14ac:dyDescent="0.2"/>
  <cols>
    <col min="1" max="1" width="2.42578125" style="238" customWidth="1"/>
    <col min="2" max="2" width="1.42578125" style="238" customWidth="1"/>
    <col min="3" max="3" width="29.5703125" style="238" customWidth="1"/>
    <col min="4" max="6" width="14.28515625" style="238" customWidth="1"/>
    <col min="7" max="7" width="4.7109375" style="238" customWidth="1"/>
    <col min="8" max="8" width="14.28515625" style="238" customWidth="1"/>
    <col min="9" max="9" width="9.42578125" style="238" customWidth="1"/>
    <col min="10" max="10" width="14.28515625" style="238" customWidth="1"/>
    <col min="11" max="11" width="4.7109375" style="238" customWidth="1"/>
    <col min="12" max="14" width="14.28515625" style="238" customWidth="1"/>
    <col min="15" max="15" width="4.7109375" style="238" customWidth="1"/>
    <col min="16" max="16" width="1.42578125" style="238" customWidth="1"/>
    <col min="17" max="256" width="4.7109375" style="238"/>
    <col min="257" max="257" width="2.42578125" style="238" customWidth="1"/>
    <col min="258" max="258" width="1.42578125" style="238" customWidth="1"/>
    <col min="259" max="259" width="29.5703125" style="238" customWidth="1"/>
    <col min="260" max="262" width="14.28515625" style="238" customWidth="1"/>
    <col min="263" max="263" width="4.7109375" style="238" customWidth="1"/>
    <col min="264" max="264" width="14.28515625" style="238" customWidth="1"/>
    <col min="265" max="265" width="9.42578125" style="238" customWidth="1"/>
    <col min="266" max="266" width="14.28515625" style="238" customWidth="1"/>
    <col min="267" max="267" width="4.7109375" style="238" customWidth="1"/>
    <col min="268" max="270" width="14.28515625" style="238" customWidth="1"/>
    <col min="271" max="271" width="4.7109375" style="238" customWidth="1"/>
    <col min="272" max="272" width="1.42578125" style="238" customWidth="1"/>
    <col min="273" max="512" width="4.7109375" style="238"/>
    <col min="513" max="513" width="2.42578125" style="238" customWidth="1"/>
    <col min="514" max="514" width="1.42578125" style="238" customWidth="1"/>
    <col min="515" max="515" width="29.5703125" style="238" customWidth="1"/>
    <col min="516" max="518" width="14.28515625" style="238" customWidth="1"/>
    <col min="519" max="519" width="4.7109375" style="238" customWidth="1"/>
    <col min="520" max="520" width="14.28515625" style="238" customWidth="1"/>
    <col min="521" max="521" width="9.42578125" style="238" customWidth="1"/>
    <col min="522" max="522" width="14.28515625" style="238" customWidth="1"/>
    <col min="523" max="523" width="4.7109375" style="238" customWidth="1"/>
    <col min="524" max="526" width="14.28515625" style="238" customWidth="1"/>
    <col min="527" max="527" width="4.7109375" style="238" customWidth="1"/>
    <col min="528" max="528" width="1.42578125" style="238" customWidth="1"/>
    <col min="529" max="768" width="4.7109375" style="238"/>
    <col min="769" max="769" width="2.42578125" style="238" customWidth="1"/>
    <col min="770" max="770" width="1.42578125" style="238" customWidth="1"/>
    <col min="771" max="771" width="29.5703125" style="238" customWidth="1"/>
    <col min="772" max="774" width="14.28515625" style="238" customWidth="1"/>
    <col min="775" max="775" width="4.7109375" style="238" customWidth="1"/>
    <col min="776" max="776" width="14.28515625" style="238" customWidth="1"/>
    <col min="777" max="777" width="9.42578125" style="238" customWidth="1"/>
    <col min="778" max="778" width="14.28515625" style="238" customWidth="1"/>
    <col min="779" max="779" width="4.7109375" style="238" customWidth="1"/>
    <col min="780" max="782" width="14.28515625" style="238" customWidth="1"/>
    <col min="783" max="783" width="4.7109375" style="238" customWidth="1"/>
    <col min="784" max="784" width="1.42578125" style="238" customWidth="1"/>
    <col min="785" max="1024" width="4.7109375" style="238"/>
    <col min="1025" max="1025" width="2.42578125" style="238" customWidth="1"/>
    <col min="1026" max="1026" width="1.42578125" style="238" customWidth="1"/>
    <col min="1027" max="1027" width="29.5703125" style="238" customWidth="1"/>
    <col min="1028" max="1030" width="14.28515625" style="238" customWidth="1"/>
    <col min="1031" max="1031" width="4.7109375" style="238" customWidth="1"/>
    <col min="1032" max="1032" width="14.28515625" style="238" customWidth="1"/>
    <col min="1033" max="1033" width="9.42578125" style="238" customWidth="1"/>
    <col min="1034" max="1034" width="14.28515625" style="238" customWidth="1"/>
    <col min="1035" max="1035" width="4.7109375" style="238" customWidth="1"/>
    <col min="1036" max="1038" width="14.28515625" style="238" customWidth="1"/>
    <col min="1039" max="1039" width="4.7109375" style="238" customWidth="1"/>
    <col min="1040" max="1040" width="1.42578125" style="238" customWidth="1"/>
    <col min="1041" max="1280" width="4.7109375" style="238"/>
    <col min="1281" max="1281" width="2.42578125" style="238" customWidth="1"/>
    <col min="1282" max="1282" width="1.42578125" style="238" customWidth="1"/>
    <col min="1283" max="1283" width="29.5703125" style="238" customWidth="1"/>
    <col min="1284" max="1286" width="14.28515625" style="238" customWidth="1"/>
    <col min="1287" max="1287" width="4.7109375" style="238" customWidth="1"/>
    <col min="1288" max="1288" width="14.28515625" style="238" customWidth="1"/>
    <col min="1289" max="1289" width="9.42578125" style="238" customWidth="1"/>
    <col min="1290" max="1290" width="14.28515625" style="238" customWidth="1"/>
    <col min="1291" max="1291" width="4.7109375" style="238" customWidth="1"/>
    <col min="1292" max="1294" width="14.28515625" style="238" customWidth="1"/>
    <col min="1295" max="1295" width="4.7109375" style="238" customWidth="1"/>
    <col min="1296" max="1296" width="1.42578125" style="238" customWidth="1"/>
    <col min="1297" max="1536" width="4.7109375" style="238"/>
    <col min="1537" max="1537" width="2.42578125" style="238" customWidth="1"/>
    <col min="1538" max="1538" width="1.42578125" style="238" customWidth="1"/>
    <col min="1539" max="1539" width="29.5703125" style="238" customWidth="1"/>
    <col min="1540" max="1542" width="14.28515625" style="238" customWidth="1"/>
    <col min="1543" max="1543" width="4.7109375" style="238" customWidth="1"/>
    <col min="1544" max="1544" width="14.28515625" style="238" customWidth="1"/>
    <col min="1545" max="1545" width="9.42578125" style="238" customWidth="1"/>
    <col min="1546" max="1546" width="14.28515625" style="238" customWidth="1"/>
    <col min="1547" max="1547" width="4.7109375" style="238" customWidth="1"/>
    <col min="1548" max="1550" width="14.28515625" style="238" customWidth="1"/>
    <col min="1551" max="1551" width="4.7109375" style="238" customWidth="1"/>
    <col min="1552" max="1552" width="1.42578125" style="238" customWidth="1"/>
    <col min="1553" max="1792" width="4.7109375" style="238"/>
    <col min="1793" max="1793" width="2.42578125" style="238" customWidth="1"/>
    <col min="1794" max="1794" width="1.42578125" style="238" customWidth="1"/>
    <col min="1795" max="1795" width="29.5703125" style="238" customWidth="1"/>
    <col min="1796" max="1798" width="14.28515625" style="238" customWidth="1"/>
    <col min="1799" max="1799" width="4.7109375" style="238" customWidth="1"/>
    <col min="1800" max="1800" width="14.28515625" style="238" customWidth="1"/>
    <col min="1801" max="1801" width="9.42578125" style="238" customWidth="1"/>
    <col min="1802" max="1802" width="14.28515625" style="238" customWidth="1"/>
    <col min="1803" max="1803" width="4.7109375" style="238" customWidth="1"/>
    <col min="1804" max="1806" width="14.28515625" style="238" customWidth="1"/>
    <col min="1807" max="1807" width="4.7109375" style="238" customWidth="1"/>
    <col min="1808" max="1808" width="1.42578125" style="238" customWidth="1"/>
    <col min="1809" max="2048" width="4.7109375" style="238"/>
    <col min="2049" max="2049" width="2.42578125" style="238" customWidth="1"/>
    <col min="2050" max="2050" width="1.42578125" style="238" customWidth="1"/>
    <col min="2051" max="2051" width="29.5703125" style="238" customWidth="1"/>
    <col min="2052" max="2054" width="14.28515625" style="238" customWidth="1"/>
    <col min="2055" max="2055" width="4.7109375" style="238" customWidth="1"/>
    <col min="2056" max="2056" width="14.28515625" style="238" customWidth="1"/>
    <col min="2057" max="2057" width="9.42578125" style="238" customWidth="1"/>
    <col min="2058" max="2058" width="14.28515625" style="238" customWidth="1"/>
    <col min="2059" max="2059" width="4.7109375" style="238" customWidth="1"/>
    <col min="2060" max="2062" width="14.28515625" style="238" customWidth="1"/>
    <col min="2063" max="2063" width="4.7109375" style="238" customWidth="1"/>
    <col min="2064" max="2064" width="1.42578125" style="238" customWidth="1"/>
    <col min="2065" max="2304" width="4.7109375" style="238"/>
    <col min="2305" max="2305" width="2.42578125" style="238" customWidth="1"/>
    <col min="2306" max="2306" width="1.42578125" style="238" customWidth="1"/>
    <col min="2307" max="2307" width="29.5703125" style="238" customWidth="1"/>
    <col min="2308" max="2310" width="14.28515625" style="238" customWidth="1"/>
    <col min="2311" max="2311" width="4.7109375" style="238" customWidth="1"/>
    <col min="2312" max="2312" width="14.28515625" style="238" customWidth="1"/>
    <col min="2313" max="2313" width="9.42578125" style="238" customWidth="1"/>
    <col min="2314" max="2314" width="14.28515625" style="238" customWidth="1"/>
    <col min="2315" max="2315" width="4.7109375" style="238" customWidth="1"/>
    <col min="2316" max="2318" width="14.28515625" style="238" customWidth="1"/>
    <col min="2319" max="2319" width="4.7109375" style="238" customWidth="1"/>
    <col min="2320" max="2320" width="1.42578125" style="238" customWidth="1"/>
    <col min="2321" max="2560" width="4.7109375" style="238"/>
    <col min="2561" max="2561" width="2.42578125" style="238" customWidth="1"/>
    <col min="2562" max="2562" width="1.42578125" style="238" customWidth="1"/>
    <col min="2563" max="2563" width="29.5703125" style="238" customWidth="1"/>
    <col min="2564" max="2566" width="14.28515625" style="238" customWidth="1"/>
    <col min="2567" max="2567" width="4.7109375" style="238" customWidth="1"/>
    <col min="2568" max="2568" width="14.28515625" style="238" customWidth="1"/>
    <col min="2569" max="2569" width="9.42578125" style="238" customWidth="1"/>
    <col min="2570" max="2570" width="14.28515625" style="238" customWidth="1"/>
    <col min="2571" max="2571" width="4.7109375" style="238" customWidth="1"/>
    <col min="2572" max="2574" width="14.28515625" style="238" customWidth="1"/>
    <col min="2575" max="2575" width="4.7109375" style="238" customWidth="1"/>
    <col min="2576" max="2576" width="1.42578125" style="238" customWidth="1"/>
    <col min="2577" max="2816" width="4.7109375" style="238"/>
    <col min="2817" max="2817" width="2.42578125" style="238" customWidth="1"/>
    <col min="2818" max="2818" width="1.42578125" style="238" customWidth="1"/>
    <col min="2819" max="2819" width="29.5703125" style="238" customWidth="1"/>
    <col min="2820" max="2822" width="14.28515625" style="238" customWidth="1"/>
    <col min="2823" max="2823" width="4.7109375" style="238" customWidth="1"/>
    <col min="2824" max="2824" width="14.28515625" style="238" customWidth="1"/>
    <col min="2825" max="2825" width="9.42578125" style="238" customWidth="1"/>
    <col min="2826" max="2826" width="14.28515625" style="238" customWidth="1"/>
    <col min="2827" max="2827" width="4.7109375" style="238" customWidth="1"/>
    <col min="2828" max="2830" width="14.28515625" style="238" customWidth="1"/>
    <col min="2831" max="2831" width="4.7109375" style="238" customWidth="1"/>
    <col min="2832" max="2832" width="1.42578125" style="238" customWidth="1"/>
    <col min="2833" max="3072" width="4.7109375" style="238"/>
    <col min="3073" max="3073" width="2.42578125" style="238" customWidth="1"/>
    <col min="3074" max="3074" width="1.42578125" style="238" customWidth="1"/>
    <col min="3075" max="3075" width="29.5703125" style="238" customWidth="1"/>
    <col min="3076" max="3078" width="14.28515625" style="238" customWidth="1"/>
    <col min="3079" max="3079" width="4.7109375" style="238" customWidth="1"/>
    <col min="3080" max="3080" width="14.28515625" style="238" customWidth="1"/>
    <col min="3081" max="3081" width="9.42578125" style="238" customWidth="1"/>
    <col min="3082" max="3082" width="14.28515625" style="238" customWidth="1"/>
    <col min="3083" max="3083" width="4.7109375" style="238" customWidth="1"/>
    <col min="3084" max="3086" width="14.28515625" style="238" customWidth="1"/>
    <col min="3087" max="3087" width="4.7109375" style="238" customWidth="1"/>
    <col min="3088" max="3088" width="1.42578125" style="238" customWidth="1"/>
    <col min="3089" max="3328" width="4.7109375" style="238"/>
    <col min="3329" max="3329" width="2.42578125" style="238" customWidth="1"/>
    <col min="3330" max="3330" width="1.42578125" style="238" customWidth="1"/>
    <col min="3331" max="3331" width="29.5703125" style="238" customWidth="1"/>
    <col min="3332" max="3334" width="14.28515625" style="238" customWidth="1"/>
    <col min="3335" max="3335" width="4.7109375" style="238" customWidth="1"/>
    <col min="3336" max="3336" width="14.28515625" style="238" customWidth="1"/>
    <col min="3337" max="3337" width="9.42578125" style="238" customWidth="1"/>
    <col min="3338" max="3338" width="14.28515625" style="238" customWidth="1"/>
    <col min="3339" max="3339" width="4.7109375" style="238" customWidth="1"/>
    <col min="3340" max="3342" width="14.28515625" style="238" customWidth="1"/>
    <col min="3343" max="3343" width="4.7109375" style="238" customWidth="1"/>
    <col min="3344" max="3344" width="1.42578125" style="238" customWidth="1"/>
    <col min="3345" max="3584" width="4.7109375" style="238"/>
    <col min="3585" max="3585" width="2.42578125" style="238" customWidth="1"/>
    <col min="3586" max="3586" width="1.42578125" style="238" customWidth="1"/>
    <col min="3587" max="3587" width="29.5703125" style="238" customWidth="1"/>
    <col min="3588" max="3590" width="14.28515625" style="238" customWidth="1"/>
    <col min="3591" max="3591" width="4.7109375" style="238" customWidth="1"/>
    <col min="3592" max="3592" width="14.28515625" style="238" customWidth="1"/>
    <col min="3593" max="3593" width="9.42578125" style="238" customWidth="1"/>
    <col min="3594" max="3594" width="14.28515625" style="238" customWidth="1"/>
    <col min="3595" max="3595" width="4.7109375" style="238" customWidth="1"/>
    <col min="3596" max="3598" width="14.28515625" style="238" customWidth="1"/>
    <col min="3599" max="3599" width="4.7109375" style="238" customWidth="1"/>
    <col min="3600" max="3600" width="1.42578125" style="238" customWidth="1"/>
    <col min="3601" max="3840" width="4.7109375" style="238"/>
    <col min="3841" max="3841" width="2.42578125" style="238" customWidth="1"/>
    <col min="3842" max="3842" width="1.42578125" style="238" customWidth="1"/>
    <col min="3843" max="3843" width="29.5703125" style="238" customWidth="1"/>
    <col min="3844" max="3846" width="14.28515625" style="238" customWidth="1"/>
    <col min="3847" max="3847" width="4.7109375" style="238" customWidth="1"/>
    <col min="3848" max="3848" width="14.28515625" style="238" customWidth="1"/>
    <col min="3849" max="3849" width="9.42578125" style="238" customWidth="1"/>
    <col min="3850" max="3850" width="14.28515625" style="238" customWidth="1"/>
    <col min="3851" max="3851" width="4.7109375" style="238" customWidth="1"/>
    <col min="3852" max="3854" width="14.28515625" style="238" customWidth="1"/>
    <col min="3855" max="3855" width="4.7109375" style="238" customWidth="1"/>
    <col min="3856" max="3856" width="1.42578125" style="238" customWidth="1"/>
    <col min="3857" max="4096" width="4.7109375" style="238"/>
    <col min="4097" max="4097" width="2.42578125" style="238" customWidth="1"/>
    <col min="4098" max="4098" width="1.42578125" style="238" customWidth="1"/>
    <col min="4099" max="4099" width="29.5703125" style="238" customWidth="1"/>
    <col min="4100" max="4102" width="14.28515625" style="238" customWidth="1"/>
    <col min="4103" max="4103" width="4.7109375" style="238" customWidth="1"/>
    <col min="4104" max="4104" width="14.28515625" style="238" customWidth="1"/>
    <col min="4105" max="4105" width="9.42578125" style="238" customWidth="1"/>
    <col min="4106" max="4106" width="14.28515625" style="238" customWidth="1"/>
    <col min="4107" max="4107" width="4.7109375" style="238" customWidth="1"/>
    <col min="4108" max="4110" width="14.28515625" style="238" customWidth="1"/>
    <col min="4111" max="4111" width="4.7109375" style="238" customWidth="1"/>
    <col min="4112" max="4112" width="1.42578125" style="238" customWidth="1"/>
    <col min="4113" max="4352" width="4.7109375" style="238"/>
    <col min="4353" max="4353" width="2.42578125" style="238" customWidth="1"/>
    <col min="4354" max="4354" width="1.42578125" style="238" customWidth="1"/>
    <col min="4355" max="4355" width="29.5703125" style="238" customWidth="1"/>
    <col min="4356" max="4358" width="14.28515625" style="238" customWidth="1"/>
    <col min="4359" max="4359" width="4.7109375" style="238" customWidth="1"/>
    <col min="4360" max="4360" width="14.28515625" style="238" customWidth="1"/>
    <col min="4361" max="4361" width="9.42578125" style="238" customWidth="1"/>
    <col min="4362" max="4362" width="14.28515625" style="238" customWidth="1"/>
    <col min="4363" max="4363" width="4.7109375" style="238" customWidth="1"/>
    <col min="4364" max="4366" width="14.28515625" style="238" customWidth="1"/>
    <col min="4367" max="4367" width="4.7109375" style="238" customWidth="1"/>
    <col min="4368" max="4368" width="1.42578125" style="238" customWidth="1"/>
    <col min="4369" max="4608" width="4.7109375" style="238"/>
    <col min="4609" max="4609" width="2.42578125" style="238" customWidth="1"/>
    <col min="4610" max="4610" width="1.42578125" style="238" customWidth="1"/>
    <col min="4611" max="4611" width="29.5703125" style="238" customWidth="1"/>
    <col min="4612" max="4614" width="14.28515625" style="238" customWidth="1"/>
    <col min="4615" max="4615" width="4.7109375" style="238" customWidth="1"/>
    <col min="4616" max="4616" width="14.28515625" style="238" customWidth="1"/>
    <col min="4617" max="4617" width="9.42578125" style="238" customWidth="1"/>
    <col min="4618" max="4618" width="14.28515625" style="238" customWidth="1"/>
    <col min="4619" max="4619" width="4.7109375" style="238" customWidth="1"/>
    <col min="4620" max="4622" width="14.28515625" style="238" customWidth="1"/>
    <col min="4623" max="4623" width="4.7109375" style="238" customWidth="1"/>
    <col min="4624" max="4624" width="1.42578125" style="238" customWidth="1"/>
    <col min="4625" max="4864" width="4.7109375" style="238"/>
    <col min="4865" max="4865" width="2.42578125" style="238" customWidth="1"/>
    <col min="4866" max="4866" width="1.42578125" style="238" customWidth="1"/>
    <col min="4867" max="4867" width="29.5703125" style="238" customWidth="1"/>
    <col min="4868" max="4870" width="14.28515625" style="238" customWidth="1"/>
    <col min="4871" max="4871" width="4.7109375" style="238" customWidth="1"/>
    <col min="4872" max="4872" width="14.28515625" style="238" customWidth="1"/>
    <col min="4873" max="4873" width="9.42578125" style="238" customWidth="1"/>
    <col min="4874" max="4874" width="14.28515625" style="238" customWidth="1"/>
    <col min="4875" max="4875" width="4.7109375" style="238" customWidth="1"/>
    <col min="4876" max="4878" width="14.28515625" style="238" customWidth="1"/>
    <col min="4879" max="4879" width="4.7109375" style="238" customWidth="1"/>
    <col min="4880" max="4880" width="1.42578125" style="238" customWidth="1"/>
    <col min="4881" max="5120" width="4.7109375" style="238"/>
    <col min="5121" max="5121" width="2.42578125" style="238" customWidth="1"/>
    <col min="5122" max="5122" width="1.42578125" style="238" customWidth="1"/>
    <col min="5123" max="5123" width="29.5703125" style="238" customWidth="1"/>
    <col min="5124" max="5126" width="14.28515625" style="238" customWidth="1"/>
    <col min="5127" max="5127" width="4.7109375" style="238" customWidth="1"/>
    <col min="5128" max="5128" width="14.28515625" style="238" customWidth="1"/>
    <col min="5129" max="5129" width="9.42578125" style="238" customWidth="1"/>
    <col min="5130" max="5130" width="14.28515625" style="238" customWidth="1"/>
    <col min="5131" max="5131" width="4.7109375" style="238" customWidth="1"/>
    <col min="5132" max="5134" width="14.28515625" style="238" customWidth="1"/>
    <col min="5135" max="5135" width="4.7109375" style="238" customWidth="1"/>
    <col min="5136" max="5136" width="1.42578125" style="238" customWidth="1"/>
    <col min="5137" max="5376" width="4.7109375" style="238"/>
    <col min="5377" max="5377" width="2.42578125" style="238" customWidth="1"/>
    <col min="5378" max="5378" width="1.42578125" style="238" customWidth="1"/>
    <col min="5379" max="5379" width="29.5703125" style="238" customWidth="1"/>
    <col min="5380" max="5382" width="14.28515625" style="238" customWidth="1"/>
    <col min="5383" max="5383" width="4.7109375" style="238" customWidth="1"/>
    <col min="5384" max="5384" width="14.28515625" style="238" customWidth="1"/>
    <col min="5385" max="5385" width="9.42578125" style="238" customWidth="1"/>
    <col min="5386" max="5386" width="14.28515625" style="238" customWidth="1"/>
    <col min="5387" max="5387" width="4.7109375" style="238" customWidth="1"/>
    <col min="5388" max="5390" width="14.28515625" style="238" customWidth="1"/>
    <col min="5391" max="5391" width="4.7109375" style="238" customWidth="1"/>
    <col min="5392" max="5392" width="1.42578125" style="238" customWidth="1"/>
    <col min="5393" max="5632" width="4.7109375" style="238"/>
    <col min="5633" max="5633" width="2.42578125" style="238" customWidth="1"/>
    <col min="5634" max="5634" width="1.42578125" style="238" customWidth="1"/>
    <col min="5635" max="5635" width="29.5703125" style="238" customWidth="1"/>
    <col min="5636" max="5638" width="14.28515625" style="238" customWidth="1"/>
    <col min="5639" max="5639" width="4.7109375" style="238" customWidth="1"/>
    <col min="5640" max="5640" width="14.28515625" style="238" customWidth="1"/>
    <col min="5641" max="5641" width="9.42578125" style="238" customWidth="1"/>
    <col min="5642" max="5642" width="14.28515625" style="238" customWidth="1"/>
    <col min="5643" max="5643" width="4.7109375" style="238" customWidth="1"/>
    <col min="5644" max="5646" width="14.28515625" style="238" customWidth="1"/>
    <col min="5647" max="5647" width="4.7109375" style="238" customWidth="1"/>
    <col min="5648" max="5648" width="1.42578125" style="238" customWidth="1"/>
    <col min="5649" max="5888" width="4.7109375" style="238"/>
    <col min="5889" max="5889" width="2.42578125" style="238" customWidth="1"/>
    <col min="5890" max="5890" width="1.42578125" style="238" customWidth="1"/>
    <col min="5891" max="5891" width="29.5703125" style="238" customWidth="1"/>
    <col min="5892" max="5894" width="14.28515625" style="238" customWidth="1"/>
    <col min="5895" max="5895" width="4.7109375" style="238" customWidth="1"/>
    <col min="5896" max="5896" width="14.28515625" style="238" customWidth="1"/>
    <col min="5897" max="5897" width="9.42578125" style="238" customWidth="1"/>
    <col min="5898" max="5898" width="14.28515625" style="238" customWidth="1"/>
    <col min="5899" max="5899" width="4.7109375" style="238" customWidth="1"/>
    <col min="5900" max="5902" width="14.28515625" style="238" customWidth="1"/>
    <col min="5903" max="5903" width="4.7109375" style="238" customWidth="1"/>
    <col min="5904" max="5904" width="1.42578125" style="238" customWidth="1"/>
    <col min="5905" max="6144" width="4.7109375" style="238"/>
    <col min="6145" max="6145" width="2.42578125" style="238" customWidth="1"/>
    <col min="6146" max="6146" width="1.42578125" style="238" customWidth="1"/>
    <col min="6147" max="6147" width="29.5703125" style="238" customWidth="1"/>
    <col min="6148" max="6150" width="14.28515625" style="238" customWidth="1"/>
    <col min="6151" max="6151" width="4.7109375" style="238" customWidth="1"/>
    <col min="6152" max="6152" width="14.28515625" style="238" customWidth="1"/>
    <col min="6153" max="6153" width="9.42578125" style="238" customWidth="1"/>
    <col min="6154" max="6154" width="14.28515625" style="238" customWidth="1"/>
    <col min="6155" max="6155" width="4.7109375" style="238" customWidth="1"/>
    <col min="6156" max="6158" width="14.28515625" style="238" customWidth="1"/>
    <col min="6159" max="6159" width="4.7109375" style="238" customWidth="1"/>
    <col min="6160" max="6160" width="1.42578125" style="238" customWidth="1"/>
    <col min="6161" max="6400" width="4.7109375" style="238"/>
    <col min="6401" max="6401" width="2.42578125" style="238" customWidth="1"/>
    <col min="6402" max="6402" width="1.42578125" style="238" customWidth="1"/>
    <col min="6403" max="6403" width="29.5703125" style="238" customWidth="1"/>
    <col min="6404" max="6406" width="14.28515625" style="238" customWidth="1"/>
    <col min="6407" max="6407" width="4.7109375" style="238" customWidth="1"/>
    <col min="6408" max="6408" width="14.28515625" style="238" customWidth="1"/>
    <col min="6409" max="6409" width="9.42578125" style="238" customWidth="1"/>
    <col min="6410" max="6410" width="14.28515625" style="238" customWidth="1"/>
    <col min="6411" max="6411" width="4.7109375" style="238" customWidth="1"/>
    <col min="6412" max="6414" width="14.28515625" style="238" customWidth="1"/>
    <col min="6415" max="6415" width="4.7109375" style="238" customWidth="1"/>
    <col min="6416" max="6416" width="1.42578125" style="238" customWidth="1"/>
    <col min="6417" max="6656" width="4.7109375" style="238"/>
    <col min="6657" max="6657" width="2.42578125" style="238" customWidth="1"/>
    <col min="6658" max="6658" width="1.42578125" style="238" customWidth="1"/>
    <col min="6659" max="6659" width="29.5703125" style="238" customWidth="1"/>
    <col min="6660" max="6662" width="14.28515625" style="238" customWidth="1"/>
    <col min="6663" max="6663" width="4.7109375" style="238" customWidth="1"/>
    <col min="6664" max="6664" width="14.28515625" style="238" customWidth="1"/>
    <col min="6665" max="6665" width="9.42578125" style="238" customWidth="1"/>
    <col min="6666" max="6666" width="14.28515625" style="238" customWidth="1"/>
    <col min="6667" max="6667" width="4.7109375" style="238" customWidth="1"/>
    <col min="6668" max="6670" width="14.28515625" style="238" customWidth="1"/>
    <col min="6671" max="6671" width="4.7109375" style="238" customWidth="1"/>
    <col min="6672" max="6672" width="1.42578125" style="238" customWidth="1"/>
    <col min="6673" max="6912" width="4.7109375" style="238"/>
    <col min="6913" max="6913" width="2.42578125" style="238" customWidth="1"/>
    <col min="6914" max="6914" width="1.42578125" style="238" customWidth="1"/>
    <col min="6915" max="6915" width="29.5703125" style="238" customWidth="1"/>
    <col min="6916" max="6918" width="14.28515625" style="238" customWidth="1"/>
    <col min="6919" max="6919" width="4.7109375" style="238" customWidth="1"/>
    <col min="6920" max="6920" width="14.28515625" style="238" customWidth="1"/>
    <col min="6921" max="6921" width="9.42578125" style="238" customWidth="1"/>
    <col min="6922" max="6922" width="14.28515625" style="238" customWidth="1"/>
    <col min="6923" max="6923" width="4.7109375" style="238" customWidth="1"/>
    <col min="6924" max="6926" width="14.28515625" style="238" customWidth="1"/>
    <col min="6927" max="6927" width="4.7109375" style="238" customWidth="1"/>
    <col min="6928" max="6928" width="1.42578125" style="238" customWidth="1"/>
    <col min="6929" max="7168" width="4.7109375" style="238"/>
    <col min="7169" max="7169" width="2.42578125" style="238" customWidth="1"/>
    <col min="7170" max="7170" width="1.42578125" style="238" customWidth="1"/>
    <col min="7171" max="7171" width="29.5703125" style="238" customWidth="1"/>
    <col min="7172" max="7174" width="14.28515625" style="238" customWidth="1"/>
    <col min="7175" max="7175" width="4.7109375" style="238" customWidth="1"/>
    <col min="7176" max="7176" width="14.28515625" style="238" customWidth="1"/>
    <col min="7177" max="7177" width="9.42578125" style="238" customWidth="1"/>
    <col min="7178" max="7178" width="14.28515625" style="238" customWidth="1"/>
    <col min="7179" max="7179" width="4.7109375" style="238" customWidth="1"/>
    <col min="7180" max="7182" width="14.28515625" style="238" customWidth="1"/>
    <col min="7183" max="7183" width="4.7109375" style="238" customWidth="1"/>
    <col min="7184" max="7184" width="1.42578125" style="238" customWidth="1"/>
    <col min="7185" max="7424" width="4.7109375" style="238"/>
    <col min="7425" max="7425" width="2.42578125" style="238" customWidth="1"/>
    <col min="7426" max="7426" width="1.42578125" style="238" customWidth="1"/>
    <col min="7427" max="7427" width="29.5703125" style="238" customWidth="1"/>
    <col min="7428" max="7430" width="14.28515625" style="238" customWidth="1"/>
    <col min="7431" max="7431" width="4.7109375" style="238" customWidth="1"/>
    <col min="7432" max="7432" width="14.28515625" style="238" customWidth="1"/>
    <col min="7433" max="7433" width="9.42578125" style="238" customWidth="1"/>
    <col min="7434" max="7434" width="14.28515625" style="238" customWidth="1"/>
    <col min="7435" max="7435" width="4.7109375" style="238" customWidth="1"/>
    <col min="7436" max="7438" width="14.28515625" style="238" customWidth="1"/>
    <col min="7439" max="7439" width="4.7109375" style="238" customWidth="1"/>
    <col min="7440" max="7440" width="1.42578125" style="238" customWidth="1"/>
    <col min="7441" max="7680" width="4.7109375" style="238"/>
    <col min="7681" max="7681" width="2.42578125" style="238" customWidth="1"/>
    <col min="7682" max="7682" width="1.42578125" style="238" customWidth="1"/>
    <col min="7683" max="7683" width="29.5703125" style="238" customWidth="1"/>
    <col min="7684" max="7686" width="14.28515625" style="238" customWidth="1"/>
    <col min="7687" max="7687" width="4.7109375" style="238" customWidth="1"/>
    <col min="7688" max="7688" width="14.28515625" style="238" customWidth="1"/>
    <col min="7689" max="7689" width="9.42578125" style="238" customWidth="1"/>
    <col min="7690" max="7690" width="14.28515625" style="238" customWidth="1"/>
    <col min="7691" max="7691" width="4.7109375" style="238" customWidth="1"/>
    <col min="7692" max="7694" width="14.28515625" style="238" customWidth="1"/>
    <col min="7695" max="7695" width="4.7109375" style="238" customWidth="1"/>
    <col min="7696" max="7696" width="1.42578125" style="238" customWidth="1"/>
    <col min="7697" max="7936" width="4.7109375" style="238"/>
    <col min="7937" max="7937" width="2.42578125" style="238" customWidth="1"/>
    <col min="7938" max="7938" width="1.42578125" style="238" customWidth="1"/>
    <col min="7939" max="7939" width="29.5703125" style="238" customWidth="1"/>
    <col min="7940" max="7942" width="14.28515625" style="238" customWidth="1"/>
    <col min="7943" max="7943" width="4.7109375" style="238" customWidth="1"/>
    <col min="7944" max="7944" width="14.28515625" style="238" customWidth="1"/>
    <col min="7945" max="7945" width="9.42578125" style="238" customWidth="1"/>
    <col min="7946" max="7946" width="14.28515625" style="238" customWidth="1"/>
    <col min="7947" max="7947" width="4.7109375" style="238" customWidth="1"/>
    <col min="7948" max="7950" width="14.28515625" style="238" customWidth="1"/>
    <col min="7951" max="7951" width="4.7109375" style="238" customWidth="1"/>
    <col min="7952" max="7952" width="1.42578125" style="238" customWidth="1"/>
    <col min="7953" max="8192" width="4.7109375" style="238"/>
    <col min="8193" max="8193" width="2.42578125" style="238" customWidth="1"/>
    <col min="8194" max="8194" width="1.42578125" style="238" customWidth="1"/>
    <col min="8195" max="8195" width="29.5703125" style="238" customWidth="1"/>
    <col min="8196" max="8198" width="14.28515625" style="238" customWidth="1"/>
    <col min="8199" max="8199" width="4.7109375" style="238" customWidth="1"/>
    <col min="8200" max="8200" width="14.28515625" style="238" customWidth="1"/>
    <col min="8201" max="8201" width="9.42578125" style="238" customWidth="1"/>
    <col min="8202" max="8202" width="14.28515625" style="238" customWidth="1"/>
    <col min="8203" max="8203" width="4.7109375" style="238" customWidth="1"/>
    <col min="8204" max="8206" width="14.28515625" style="238" customWidth="1"/>
    <col min="8207" max="8207" width="4.7109375" style="238" customWidth="1"/>
    <col min="8208" max="8208" width="1.42578125" style="238" customWidth="1"/>
    <col min="8209" max="8448" width="4.7109375" style="238"/>
    <col min="8449" max="8449" width="2.42578125" style="238" customWidth="1"/>
    <col min="8450" max="8450" width="1.42578125" style="238" customWidth="1"/>
    <col min="8451" max="8451" width="29.5703125" style="238" customWidth="1"/>
    <col min="8452" max="8454" width="14.28515625" style="238" customWidth="1"/>
    <col min="8455" max="8455" width="4.7109375" style="238" customWidth="1"/>
    <col min="8456" max="8456" width="14.28515625" style="238" customWidth="1"/>
    <col min="8457" max="8457" width="9.42578125" style="238" customWidth="1"/>
    <col min="8458" max="8458" width="14.28515625" style="238" customWidth="1"/>
    <col min="8459" max="8459" width="4.7109375" style="238" customWidth="1"/>
    <col min="8460" max="8462" width="14.28515625" style="238" customWidth="1"/>
    <col min="8463" max="8463" width="4.7109375" style="238" customWidth="1"/>
    <col min="8464" max="8464" width="1.42578125" style="238" customWidth="1"/>
    <col min="8465" max="8704" width="4.7109375" style="238"/>
    <col min="8705" max="8705" width="2.42578125" style="238" customWidth="1"/>
    <col min="8706" max="8706" width="1.42578125" style="238" customWidth="1"/>
    <col min="8707" max="8707" width="29.5703125" style="238" customWidth="1"/>
    <col min="8708" max="8710" width="14.28515625" style="238" customWidth="1"/>
    <col min="8711" max="8711" width="4.7109375" style="238" customWidth="1"/>
    <col min="8712" max="8712" width="14.28515625" style="238" customWidth="1"/>
    <col min="8713" max="8713" width="9.42578125" style="238" customWidth="1"/>
    <col min="8714" max="8714" width="14.28515625" style="238" customWidth="1"/>
    <col min="8715" max="8715" width="4.7109375" style="238" customWidth="1"/>
    <col min="8716" max="8718" width="14.28515625" style="238" customWidth="1"/>
    <col min="8719" max="8719" width="4.7109375" style="238" customWidth="1"/>
    <col min="8720" max="8720" width="1.42578125" style="238" customWidth="1"/>
    <col min="8721" max="8960" width="4.7109375" style="238"/>
    <col min="8961" max="8961" width="2.42578125" style="238" customWidth="1"/>
    <col min="8962" max="8962" width="1.42578125" style="238" customWidth="1"/>
    <col min="8963" max="8963" width="29.5703125" style="238" customWidth="1"/>
    <col min="8964" max="8966" width="14.28515625" style="238" customWidth="1"/>
    <col min="8967" max="8967" width="4.7109375" style="238" customWidth="1"/>
    <col min="8968" max="8968" width="14.28515625" style="238" customWidth="1"/>
    <col min="8969" max="8969" width="9.42578125" style="238" customWidth="1"/>
    <col min="8970" max="8970" width="14.28515625" style="238" customWidth="1"/>
    <col min="8971" max="8971" width="4.7109375" style="238" customWidth="1"/>
    <col min="8972" max="8974" width="14.28515625" style="238" customWidth="1"/>
    <col min="8975" max="8975" width="4.7109375" style="238" customWidth="1"/>
    <col min="8976" max="8976" width="1.42578125" style="238" customWidth="1"/>
    <col min="8977" max="9216" width="4.7109375" style="238"/>
    <col min="9217" max="9217" width="2.42578125" style="238" customWidth="1"/>
    <col min="9218" max="9218" width="1.42578125" style="238" customWidth="1"/>
    <col min="9219" max="9219" width="29.5703125" style="238" customWidth="1"/>
    <col min="9220" max="9222" width="14.28515625" style="238" customWidth="1"/>
    <col min="9223" max="9223" width="4.7109375" style="238" customWidth="1"/>
    <col min="9224" max="9224" width="14.28515625" style="238" customWidth="1"/>
    <col min="9225" max="9225" width="9.42578125" style="238" customWidth="1"/>
    <col min="9226" max="9226" width="14.28515625" style="238" customWidth="1"/>
    <col min="9227" max="9227" width="4.7109375" style="238" customWidth="1"/>
    <col min="9228" max="9230" width="14.28515625" style="238" customWidth="1"/>
    <col min="9231" max="9231" width="4.7109375" style="238" customWidth="1"/>
    <col min="9232" max="9232" width="1.42578125" style="238" customWidth="1"/>
    <col min="9233" max="9472" width="4.7109375" style="238"/>
    <col min="9473" max="9473" width="2.42578125" style="238" customWidth="1"/>
    <col min="9474" max="9474" width="1.42578125" style="238" customWidth="1"/>
    <col min="9475" max="9475" width="29.5703125" style="238" customWidth="1"/>
    <col min="9476" max="9478" width="14.28515625" style="238" customWidth="1"/>
    <col min="9479" max="9479" width="4.7109375" style="238" customWidth="1"/>
    <col min="9480" max="9480" width="14.28515625" style="238" customWidth="1"/>
    <col min="9481" max="9481" width="9.42578125" style="238" customWidth="1"/>
    <col min="9482" max="9482" width="14.28515625" style="238" customWidth="1"/>
    <col min="9483" max="9483" width="4.7109375" style="238" customWidth="1"/>
    <col min="9484" max="9486" width="14.28515625" style="238" customWidth="1"/>
    <col min="9487" max="9487" width="4.7109375" style="238" customWidth="1"/>
    <col min="9488" max="9488" width="1.42578125" style="238" customWidth="1"/>
    <col min="9489" max="9728" width="4.7109375" style="238"/>
    <col min="9729" max="9729" width="2.42578125" style="238" customWidth="1"/>
    <col min="9730" max="9730" width="1.42578125" style="238" customWidth="1"/>
    <col min="9731" max="9731" width="29.5703125" style="238" customWidth="1"/>
    <col min="9732" max="9734" width="14.28515625" style="238" customWidth="1"/>
    <col min="9735" max="9735" width="4.7109375" style="238" customWidth="1"/>
    <col min="9736" max="9736" width="14.28515625" style="238" customWidth="1"/>
    <col min="9737" max="9737" width="9.42578125" style="238" customWidth="1"/>
    <col min="9738" max="9738" width="14.28515625" style="238" customWidth="1"/>
    <col min="9739" max="9739" width="4.7109375" style="238" customWidth="1"/>
    <col min="9740" max="9742" width="14.28515625" style="238" customWidth="1"/>
    <col min="9743" max="9743" width="4.7109375" style="238" customWidth="1"/>
    <col min="9744" max="9744" width="1.42578125" style="238" customWidth="1"/>
    <col min="9745" max="9984" width="4.7109375" style="238"/>
    <col min="9985" max="9985" width="2.42578125" style="238" customWidth="1"/>
    <col min="9986" max="9986" width="1.42578125" style="238" customWidth="1"/>
    <col min="9987" max="9987" width="29.5703125" style="238" customWidth="1"/>
    <col min="9988" max="9990" width="14.28515625" style="238" customWidth="1"/>
    <col min="9991" max="9991" width="4.7109375" style="238" customWidth="1"/>
    <col min="9992" max="9992" width="14.28515625" style="238" customWidth="1"/>
    <col min="9993" max="9993" width="9.42578125" style="238" customWidth="1"/>
    <col min="9994" max="9994" width="14.28515625" style="238" customWidth="1"/>
    <col min="9995" max="9995" width="4.7109375" style="238" customWidth="1"/>
    <col min="9996" max="9998" width="14.28515625" style="238" customWidth="1"/>
    <col min="9999" max="9999" width="4.7109375" style="238" customWidth="1"/>
    <col min="10000" max="10000" width="1.42578125" style="238" customWidth="1"/>
    <col min="10001" max="10240" width="4.7109375" style="238"/>
    <col min="10241" max="10241" width="2.42578125" style="238" customWidth="1"/>
    <col min="10242" max="10242" width="1.42578125" style="238" customWidth="1"/>
    <col min="10243" max="10243" width="29.5703125" style="238" customWidth="1"/>
    <col min="10244" max="10246" width="14.28515625" style="238" customWidth="1"/>
    <col min="10247" max="10247" width="4.7109375" style="238" customWidth="1"/>
    <col min="10248" max="10248" width="14.28515625" style="238" customWidth="1"/>
    <col min="10249" max="10249" width="9.42578125" style="238" customWidth="1"/>
    <col min="10250" max="10250" width="14.28515625" style="238" customWidth="1"/>
    <col min="10251" max="10251" width="4.7109375" style="238" customWidth="1"/>
    <col min="10252" max="10254" width="14.28515625" style="238" customWidth="1"/>
    <col min="10255" max="10255" width="4.7109375" style="238" customWidth="1"/>
    <col min="10256" max="10256" width="1.42578125" style="238" customWidth="1"/>
    <col min="10257" max="10496" width="4.7109375" style="238"/>
    <col min="10497" max="10497" width="2.42578125" style="238" customWidth="1"/>
    <col min="10498" max="10498" width="1.42578125" style="238" customWidth="1"/>
    <col min="10499" max="10499" width="29.5703125" style="238" customWidth="1"/>
    <col min="10500" max="10502" width="14.28515625" style="238" customWidth="1"/>
    <col min="10503" max="10503" width="4.7109375" style="238" customWidth="1"/>
    <col min="10504" max="10504" width="14.28515625" style="238" customWidth="1"/>
    <col min="10505" max="10505" width="9.42578125" style="238" customWidth="1"/>
    <col min="10506" max="10506" width="14.28515625" style="238" customWidth="1"/>
    <col min="10507" max="10507" width="4.7109375" style="238" customWidth="1"/>
    <col min="10508" max="10510" width="14.28515625" style="238" customWidth="1"/>
    <col min="10511" max="10511" width="4.7109375" style="238" customWidth="1"/>
    <col min="10512" max="10512" width="1.42578125" style="238" customWidth="1"/>
    <col min="10513" max="10752" width="4.7109375" style="238"/>
    <col min="10753" max="10753" width="2.42578125" style="238" customWidth="1"/>
    <col min="10754" max="10754" width="1.42578125" style="238" customWidth="1"/>
    <col min="10755" max="10755" width="29.5703125" style="238" customWidth="1"/>
    <col min="10756" max="10758" width="14.28515625" style="238" customWidth="1"/>
    <col min="10759" max="10759" width="4.7109375" style="238" customWidth="1"/>
    <col min="10760" max="10760" width="14.28515625" style="238" customWidth="1"/>
    <col min="10761" max="10761" width="9.42578125" style="238" customWidth="1"/>
    <col min="10762" max="10762" width="14.28515625" style="238" customWidth="1"/>
    <col min="10763" max="10763" width="4.7109375" style="238" customWidth="1"/>
    <col min="10764" max="10766" width="14.28515625" style="238" customWidth="1"/>
    <col min="10767" max="10767" width="4.7109375" style="238" customWidth="1"/>
    <col min="10768" max="10768" width="1.42578125" style="238" customWidth="1"/>
    <col min="10769" max="11008" width="4.7109375" style="238"/>
    <col min="11009" max="11009" width="2.42578125" style="238" customWidth="1"/>
    <col min="11010" max="11010" width="1.42578125" style="238" customWidth="1"/>
    <col min="11011" max="11011" width="29.5703125" style="238" customWidth="1"/>
    <col min="11012" max="11014" width="14.28515625" style="238" customWidth="1"/>
    <col min="11015" max="11015" width="4.7109375" style="238" customWidth="1"/>
    <col min="11016" max="11016" width="14.28515625" style="238" customWidth="1"/>
    <col min="11017" max="11017" width="9.42578125" style="238" customWidth="1"/>
    <col min="11018" max="11018" width="14.28515625" style="238" customWidth="1"/>
    <col min="11019" max="11019" width="4.7109375" style="238" customWidth="1"/>
    <col min="11020" max="11022" width="14.28515625" style="238" customWidth="1"/>
    <col min="11023" max="11023" width="4.7109375" style="238" customWidth="1"/>
    <col min="11024" max="11024" width="1.42578125" style="238" customWidth="1"/>
    <col min="11025" max="11264" width="4.7109375" style="238"/>
    <col min="11265" max="11265" width="2.42578125" style="238" customWidth="1"/>
    <col min="11266" max="11266" width="1.42578125" style="238" customWidth="1"/>
    <col min="11267" max="11267" width="29.5703125" style="238" customWidth="1"/>
    <col min="11268" max="11270" width="14.28515625" style="238" customWidth="1"/>
    <col min="11271" max="11271" width="4.7109375" style="238" customWidth="1"/>
    <col min="11272" max="11272" width="14.28515625" style="238" customWidth="1"/>
    <col min="11273" max="11273" width="9.42578125" style="238" customWidth="1"/>
    <col min="11274" max="11274" width="14.28515625" style="238" customWidth="1"/>
    <col min="11275" max="11275" width="4.7109375" style="238" customWidth="1"/>
    <col min="11276" max="11278" width="14.28515625" style="238" customWidth="1"/>
    <col min="11279" max="11279" width="4.7109375" style="238" customWidth="1"/>
    <col min="11280" max="11280" width="1.42578125" style="238" customWidth="1"/>
    <col min="11281" max="11520" width="4.7109375" style="238"/>
    <col min="11521" max="11521" width="2.42578125" style="238" customWidth="1"/>
    <col min="11522" max="11522" width="1.42578125" style="238" customWidth="1"/>
    <col min="11523" max="11523" width="29.5703125" style="238" customWidth="1"/>
    <col min="11524" max="11526" width="14.28515625" style="238" customWidth="1"/>
    <col min="11527" max="11527" width="4.7109375" style="238" customWidth="1"/>
    <col min="11528" max="11528" width="14.28515625" style="238" customWidth="1"/>
    <col min="11529" max="11529" width="9.42578125" style="238" customWidth="1"/>
    <col min="11530" max="11530" width="14.28515625" style="238" customWidth="1"/>
    <col min="11531" max="11531" width="4.7109375" style="238" customWidth="1"/>
    <col min="11532" max="11534" width="14.28515625" style="238" customWidth="1"/>
    <col min="11535" max="11535" width="4.7109375" style="238" customWidth="1"/>
    <col min="11536" max="11536" width="1.42578125" style="238" customWidth="1"/>
    <col min="11537" max="11776" width="4.7109375" style="238"/>
    <col min="11777" max="11777" width="2.42578125" style="238" customWidth="1"/>
    <col min="11778" max="11778" width="1.42578125" style="238" customWidth="1"/>
    <col min="11779" max="11779" width="29.5703125" style="238" customWidth="1"/>
    <col min="11780" max="11782" width="14.28515625" style="238" customWidth="1"/>
    <col min="11783" max="11783" width="4.7109375" style="238" customWidth="1"/>
    <col min="11784" max="11784" width="14.28515625" style="238" customWidth="1"/>
    <col min="11785" max="11785" width="9.42578125" style="238" customWidth="1"/>
    <col min="11786" max="11786" width="14.28515625" style="238" customWidth="1"/>
    <col min="11787" max="11787" width="4.7109375" style="238" customWidth="1"/>
    <col min="11788" max="11790" width="14.28515625" style="238" customWidth="1"/>
    <col min="11791" max="11791" width="4.7109375" style="238" customWidth="1"/>
    <col min="11792" max="11792" width="1.42578125" style="238" customWidth="1"/>
    <col min="11793" max="12032" width="4.7109375" style="238"/>
    <col min="12033" max="12033" width="2.42578125" style="238" customWidth="1"/>
    <col min="12034" max="12034" width="1.42578125" style="238" customWidth="1"/>
    <col min="12035" max="12035" width="29.5703125" style="238" customWidth="1"/>
    <col min="12036" max="12038" width="14.28515625" style="238" customWidth="1"/>
    <col min="12039" max="12039" width="4.7109375" style="238" customWidth="1"/>
    <col min="12040" max="12040" width="14.28515625" style="238" customWidth="1"/>
    <col min="12041" max="12041" width="9.42578125" style="238" customWidth="1"/>
    <col min="12042" max="12042" width="14.28515625" style="238" customWidth="1"/>
    <col min="12043" max="12043" width="4.7109375" style="238" customWidth="1"/>
    <col min="12044" max="12046" width="14.28515625" style="238" customWidth="1"/>
    <col min="12047" max="12047" width="4.7109375" style="238" customWidth="1"/>
    <col min="12048" max="12048" width="1.42578125" style="238" customWidth="1"/>
    <col min="12049" max="12288" width="4.7109375" style="238"/>
    <col min="12289" max="12289" width="2.42578125" style="238" customWidth="1"/>
    <col min="12290" max="12290" width="1.42578125" style="238" customWidth="1"/>
    <col min="12291" max="12291" width="29.5703125" style="238" customWidth="1"/>
    <col min="12292" max="12294" width="14.28515625" style="238" customWidth="1"/>
    <col min="12295" max="12295" width="4.7109375" style="238" customWidth="1"/>
    <col min="12296" max="12296" width="14.28515625" style="238" customWidth="1"/>
    <col min="12297" max="12297" width="9.42578125" style="238" customWidth="1"/>
    <col min="12298" max="12298" width="14.28515625" style="238" customWidth="1"/>
    <col min="12299" max="12299" width="4.7109375" style="238" customWidth="1"/>
    <col min="12300" max="12302" width="14.28515625" style="238" customWidth="1"/>
    <col min="12303" max="12303" width="4.7109375" style="238" customWidth="1"/>
    <col min="12304" max="12304" width="1.42578125" style="238" customWidth="1"/>
    <col min="12305" max="12544" width="4.7109375" style="238"/>
    <col min="12545" max="12545" width="2.42578125" style="238" customWidth="1"/>
    <col min="12546" max="12546" width="1.42578125" style="238" customWidth="1"/>
    <col min="12547" max="12547" width="29.5703125" style="238" customWidth="1"/>
    <col min="12548" max="12550" width="14.28515625" style="238" customWidth="1"/>
    <col min="12551" max="12551" width="4.7109375" style="238" customWidth="1"/>
    <col min="12552" max="12552" width="14.28515625" style="238" customWidth="1"/>
    <col min="12553" max="12553" width="9.42578125" style="238" customWidth="1"/>
    <col min="12554" max="12554" width="14.28515625" style="238" customWidth="1"/>
    <col min="12555" max="12555" width="4.7109375" style="238" customWidth="1"/>
    <col min="12556" max="12558" width="14.28515625" style="238" customWidth="1"/>
    <col min="12559" max="12559" width="4.7109375" style="238" customWidth="1"/>
    <col min="12560" max="12560" width="1.42578125" style="238" customWidth="1"/>
    <col min="12561" max="12800" width="4.7109375" style="238"/>
    <col min="12801" max="12801" width="2.42578125" style="238" customWidth="1"/>
    <col min="12802" max="12802" width="1.42578125" style="238" customWidth="1"/>
    <col min="12803" max="12803" width="29.5703125" style="238" customWidth="1"/>
    <col min="12804" max="12806" width="14.28515625" style="238" customWidth="1"/>
    <col min="12807" max="12807" width="4.7109375" style="238" customWidth="1"/>
    <col min="12808" max="12808" width="14.28515625" style="238" customWidth="1"/>
    <col min="12809" max="12809" width="9.42578125" style="238" customWidth="1"/>
    <col min="12810" max="12810" width="14.28515625" style="238" customWidth="1"/>
    <col min="12811" max="12811" width="4.7109375" style="238" customWidth="1"/>
    <col min="12812" max="12814" width="14.28515625" style="238" customWidth="1"/>
    <col min="12815" max="12815" width="4.7109375" style="238" customWidth="1"/>
    <col min="12816" max="12816" width="1.42578125" style="238" customWidth="1"/>
    <col min="12817" max="13056" width="4.7109375" style="238"/>
    <col min="13057" max="13057" width="2.42578125" style="238" customWidth="1"/>
    <col min="13058" max="13058" width="1.42578125" style="238" customWidth="1"/>
    <col min="13059" max="13059" width="29.5703125" style="238" customWidth="1"/>
    <col min="13060" max="13062" width="14.28515625" style="238" customWidth="1"/>
    <col min="13063" max="13063" width="4.7109375" style="238" customWidth="1"/>
    <col min="13064" max="13064" width="14.28515625" style="238" customWidth="1"/>
    <col min="13065" max="13065" width="9.42578125" style="238" customWidth="1"/>
    <col min="13066" max="13066" width="14.28515625" style="238" customWidth="1"/>
    <col min="13067" max="13067" width="4.7109375" style="238" customWidth="1"/>
    <col min="13068" max="13070" width="14.28515625" style="238" customWidth="1"/>
    <col min="13071" max="13071" width="4.7109375" style="238" customWidth="1"/>
    <col min="13072" max="13072" width="1.42578125" style="238" customWidth="1"/>
    <col min="13073" max="13312" width="4.7109375" style="238"/>
    <col min="13313" max="13313" width="2.42578125" style="238" customWidth="1"/>
    <col min="13314" max="13314" width="1.42578125" style="238" customWidth="1"/>
    <col min="13315" max="13315" width="29.5703125" style="238" customWidth="1"/>
    <col min="13316" max="13318" width="14.28515625" style="238" customWidth="1"/>
    <col min="13319" max="13319" width="4.7109375" style="238" customWidth="1"/>
    <col min="13320" max="13320" width="14.28515625" style="238" customWidth="1"/>
    <col min="13321" max="13321" width="9.42578125" style="238" customWidth="1"/>
    <col min="13322" max="13322" width="14.28515625" style="238" customWidth="1"/>
    <col min="13323" max="13323" width="4.7109375" style="238" customWidth="1"/>
    <col min="13324" max="13326" width="14.28515625" style="238" customWidth="1"/>
    <col min="13327" max="13327" width="4.7109375" style="238" customWidth="1"/>
    <col min="13328" max="13328" width="1.42578125" style="238" customWidth="1"/>
    <col min="13329" max="13568" width="4.7109375" style="238"/>
    <col min="13569" max="13569" width="2.42578125" style="238" customWidth="1"/>
    <col min="13570" max="13570" width="1.42578125" style="238" customWidth="1"/>
    <col min="13571" max="13571" width="29.5703125" style="238" customWidth="1"/>
    <col min="13572" max="13574" width="14.28515625" style="238" customWidth="1"/>
    <col min="13575" max="13575" width="4.7109375" style="238" customWidth="1"/>
    <col min="13576" max="13576" width="14.28515625" style="238" customWidth="1"/>
    <col min="13577" max="13577" width="9.42578125" style="238" customWidth="1"/>
    <col min="13578" max="13578" width="14.28515625" style="238" customWidth="1"/>
    <col min="13579" max="13579" width="4.7109375" style="238" customWidth="1"/>
    <col min="13580" max="13582" width="14.28515625" style="238" customWidth="1"/>
    <col min="13583" max="13583" width="4.7109375" style="238" customWidth="1"/>
    <col min="13584" max="13584" width="1.42578125" style="238" customWidth="1"/>
    <col min="13585" max="13824" width="4.7109375" style="238"/>
    <col min="13825" max="13825" width="2.42578125" style="238" customWidth="1"/>
    <col min="13826" max="13826" width="1.42578125" style="238" customWidth="1"/>
    <col min="13827" max="13827" width="29.5703125" style="238" customWidth="1"/>
    <col min="13828" max="13830" width="14.28515625" style="238" customWidth="1"/>
    <col min="13831" max="13831" width="4.7109375" style="238" customWidth="1"/>
    <col min="13832" max="13832" width="14.28515625" style="238" customWidth="1"/>
    <col min="13833" max="13833" width="9.42578125" style="238" customWidth="1"/>
    <col min="13834" max="13834" width="14.28515625" style="238" customWidth="1"/>
    <col min="13835" max="13835" width="4.7109375" style="238" customWidth="1"/>
    <col min="13836" max="13838" width="14.28515625" style="238" customWidth="1"/>
    <col min="13839" max="13839" width="4.7109375" style="238" customWidth="1"/>
    <col min="13840" max="13840" width="1.42578125" style="238" customWidth="1"/>
    <col min="13841" max="14080" width="4.7109375" style="238"/>
    <col min="14081" max="14081" width="2.42578125" style="238" customWidth="1"/>
    <col min="14082" max="14082" width="1.42578125" style="238" customWidth="1"/>
    <col min="14083" max="14083" width="29.5703125" style="238" customWidth="1"/>
    <col min="14084" max="14086" width="14.28515625" style="238" customWidth="1"/>
    <col min="14087" max="14087" width="4.7109375" style="238" customWidth="1"/>
    <col min="14088" max="14088" width="14.28515625" style="238" customWidth="1"/>
    <col min="14089" max="14089" width="9.42578125" style="238" customWidth="1"/>
    <col min="14090" max="14090" width="14.28515625" style="238" customWidth="1"/>
    <col min="14091" max="14091" width="4.7109375" style="238" customWidth="1"/>
    <col min="14092" max="14094" width="14.28515625" style="238" customWidth="1"/>
    <col min="14095" max="14095" width="4.7109375" style="238" customWidth="1"/>
    <col min="14096" max="14096" width="1.42578125" style="238" customWidth="1"/>
    <col min="14097" max="14336" width="4.7109375" style="238"/>
    <col min="14337" max="14337" width="2.42578125" style="238" customWidth="1"/>
    <col min="14338" max="14338" width="1.42578125" style="238" customWidth="1"/>
    <col min="14339" max="14339" width="29.5703125" style="238" customWidth="1"/>
    <col min="14340" max="14342" width="14.28515625" style="238" customWidth="1"/>
    <col min="14343" max="14343" width="4.7109375" style="238" customWidth="1"/>
    <col min="14344" max="14344" width="14.28515625" style="238" customWidth="1"/>
    <col min="14345" max="14345" width="9.42578125" style="238" customWidth="1"/>
    <col min="14346" max="14346" width="14.28515625" style="238" customWidth="1"/>
    <col min="14347" max="14347" width="4.7109375" style="238" customWidth="1"/>
    <col min="14348" max="14350" width="14.28515625" style="238" customWidth="1"/>
    <col min="14351" max="14351" width="4.7109375" style="238" customWidth="1"/>
    <col min="14352" max="14352" width="1.42578125" style="238" customWidth="1"/>
    <col min="14353" max="14592" width="4.7109375" style="238"/>
    <col min="14593" max="14593" width="2.42578125" style="238" customWidth="1"/>
    <col min="14594" max="14594" width="1.42578125" style="238" customWidth="1"/>
    <col min="14595" max="14595" width="29.5703125" style="238" customWidth="1"/>
    <col min="14596" max="14598" width="14.28515625" style="238" customWidth="1"/>
    <col min="14599" max="14599" width="4.7109375" style="238" customWidth="1"/>
    <col min="14600" max="14600" width="14.28515625" style="238" customWidth="1"/>
    <col min="14601" max="14601" width="9.42578125" style="238" customWidth="1"/>
    <col min="14602" max="14602" width="14.28515625" style="238" customWidth="1"/>
    <col min="14603" max="14603" width="4.7109375" style="238" customWidth="1"/>
    <col min="14604" max="14606" width="14.28515625" style="238" customWidth="1"/>
    <col min="14607" max="14607" width="4.7109375" style="238" customWidth="1"/>
    <col min="14608" max="14608" width="1.42578125" style="238" customWidth="1"/>
    <col min="14609" max="14848" width="4.7109375" style="238"/>
    <col min="14849" max="14849" width="2.42578125" style="238" customWidth="1"/>
    <col min="14850" max="14850" width="1.42578125" style="238" customWidth="1"/>
    <col min="14851" max="14851" width="29.5703125" style="238" customWidth="1"/>
    <col min="14852" max="14854" width="14.28515625" style="238" customWidth="1"/>
    <col min="14855" max="14855" width="4.7109375" style="238" customWidth="1"/>
    <col min="14856" max="14856" width="14.28515625" style="238" customWidth="1"/>
    <col min="14857" max="14857" width="9.42578125" style="238" customWidth="1"/>
    <col min="14858" max="14858" width="14.28515625" style="238" customWidth="1"/>
    <col min="14859" max="14859" width="4.7109375" style="238" customWidth="1"/>
    <col min="14860" max="14862" width="14.28515625" style="238" customWidth="1"/>
    <col min="14863" max="14863" width="4.7109375" style="238" customWidth="1"/>
    <col min="14864" max="14864" width="1.42578125" style="238" customWidth="1"/>
    <col min="14865" max="15104" width="4.7109375" style="238"/>
    <col min="15105" max="15105" width="2.42578125" style="238" customWidth="1"/>
    <col min="15106" max="15106" width="1.42578125" style="238" customWidth="1"/>
    <col min="15107" max="15107" width="29.5703125" style="238" customWidth="1"/>
    <col min="15108" max="15110" width="14.28515625" style="238" customWidth="1"/>
    <col min="15111" max="15111" width="4.7109375" style="238" customWidth="1"/>
    <col min="15112" max="15112" width="14.28515625" style="238" customWidth="1"/>
    <col min="15113" max="15113" width="9.42578125" style="238" customWidth="1"/>
    <col min="15114" max="15114" width="14.28515625" style="238" customWidth="1"/>
    <col min="15115" max="15115" width="4.7109375" style="238" customWidth="1"/>
    <col min="15116" max="15118" width="14.28515625" style="238" customWidth="1"/>
    <col min="15119" max="15119" width="4.7109375" style="238" customWidth="1"/>
    <col min="15120" max="15120" width="1.42578125" style="238" customWidth="1"/>
    <col min="15121" max="15360" width="4.7109375" style="238"/>
    <col min="15361" max="15361" width="2.42578125" style="238" customWidth="1"/>
    <col min="15362" max="15362" width="1.42578125" style="238" customWidth="1"/>
    <col min="15363" max="15363" width="29.5703125" style="238" customWidth="1"/>
    <col min="15364" max="15366" width="14.28515625" style="238" customWidth="1"/>
    <col min="15367" max="15367" width="4.7109375" style="238" customWidth="1"/>
    <col min="15368" max="15368" width="14.28515625" style="238" customWidth="1"/>
    <col min="15369" max="15369" width="9.42578125" style="238" customWidth="1"/>
    <col min="15370" max="15370" width="14.28515625" style="238" customWidth="1"/>
    <col min="15371" max="15371" width="4.7109375" style="238" customWidth="1"/>
    <col min="15372" max="15374" width="14.28515625" style="238" customWidth="1"/>
    <col min="15375" max="15375" width="4.7109375" style="238" customWidth="1"/>
    <col min="15376" max="15376" width="1.42578125" style="238" customWidth="1"/>
    <col min="15377" max="15616" width="4.7109375" style="238"/>
    <col min="15617" max="15617" width="2.42578125" style="238" customWidth="1"/>
    <col min="15618" max="15618" width="1.42578125" style="238" customWidth="1"/>
    <col min="15619" max="15619" width="29.5703125" style="238" customWidth="1"/>
    <col min="15620" max="15622" width="14.28515625" style="238" customWidth="1"/>
    <col min="15623" max="15623" width="4.7109375" style="238" customWidth="1"/>
    <col min="15624" max="15624" width="14.28515625" style="238" customWidth="1"/>
    <col min="15625" max="15625" width="9.42578125" style="238" customWidth="1"/>
    <col min="15626" max="15626" width="14.28515625" style="238" customWidth="1"/>
    <col min="15627" max="15627" width="4.7109375" style="238" customWidth="1"/>
    <col min="15628" max="15630" width="14.28515625" style="238" customWidth="1"/>
    <col min="15631" max="15631" width="4.7109375" style="238" customWidth="1"/>
    <col min="15632" max="15632" width="1.42578125" style="238" customWidth="1"/>
    <col min="15633" max="15872" width="4.7109375" style="238"/>
    <col min="15873" max="15873" width="2.42578125" style="238" customWidth="1"/>
    <col min="15874" max="15874" width="1.42578125" style="238" customWidth="1"/>
    <col min="15875" max="15875" width="29.5703125" style="238" customWidth="1"/>
    <col min="15876" max="15878" width="14.28515625" style="238" customWidth="1"/>
    <col min="15879" max="15879" width="4.7109375" style="238" customWidth="1"/>
    <col min="15880" max="15880" width="14.28515625" style="238" customWidth="1"/>
    <col min="15881" max="15881" width="9.42578125" style="238" customWidth="1"/>
    <col min="15882" max="15882" width="14.28515625" style="238" customWidth="1"/>
    <col min="15883" max="15883" width="4.7109375" style="238" customWidth="1"/>
    <col min="15884" max="15886" width="14.28515625" style="238" customWidth="1"/>
    <col min="15887" max="15887" width="4.7109375" style="238" customWidth="1"/>
    <col min="15888" max="15888" width="1.42578125" style="238" customWidth="1"/>
    <col min="15889" max="16128" width="4.7109375" style="238"/>
    <col min="16129" max="16129" width="2.42578125" style="238" customWidth="1"/>
    <col min="16130" max="16130" width="1.42578125" style="238" customWidth="1"/>
    <col min="16131" max="16131" width="29.5703125" style="238" customWidth="1"/>
    <col min="16132" max="16134" width="14.28515625" style="238" customWidth="1"/>
    <col min="16135" max="16135" width="4.7109375" style="238" customWidth="1"/>
    <col min="16136" max="16136" width="14.28515625" style="238" customWidth="1"/>
    <col min="16137" max="16137" width="9.42578125" style="238" customWidth="1"/>
    <col min="16138" max="16138" width="14.28515625" style="238" customWidth="1"/>
    <col min="16139" max="16139" width="4.7109375" style="238" customWidth="1"/>
    <col min="16140" max="16142" width="14.28515625" style="238" customWidth="1"/>
    <col min="16143" max="16143" width="4.7109375" style="238" customWidth="1"/>
    <col min="16144" max="16144" width="1.42578125" style="238" customWidth="1"/>
    <col min="16145" max="16384" width="4.7109375" style="238"/>
  </cols>
  <sheetData>
    <row r="2" spans="2:17" ht="7.5" customHeight="1" x14ac:dyDescent="0.2"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2:17" ht="23.25" x14ac:dyDescent="0.35">
      <c r="B3" s="239"/>
      <c r="C3" s="240" t="s">
        <v>211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39"/>
      <c r="Q3" s="241"/>
    </row>
    <row r="4" spans="2:17" ht="18" x14ac:dyDescent="0.25">
      <c r="B4" s="242"/>
      <c r="C4" s="243" t="s">
        <v>225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2"/>
      <c r="Q4" s="244"/>
    </row>
    <row r="5" spans="2:17" ht="18" x14ac:dyDescent="0.25">
      <c r="B5" s="245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5"/>
      <c r="Q5" s="246"/>
    </row>
    <row r="6" spans="2:17" ht="7.5" customHeight="1" x14ac:dyDescent="0.2">
      <c r="B6" s="245"/>
      <c r="C6" s="245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5"/>
      <c r="Q6" s="246"/>
    </row>
    <row r="7" spans="2:17" x14ac:dyDescent="0.2">
      <c r="B7" s="245"/>
      <c r="C7" s="246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5"/>
      <c r="Q7" s="249"/>
    </row>
    <row r="8" spans="2:17" hidden="1" outlineLevel="1" x14ac:dyDescent="0.2">
      <c r="B8" s="245"/>
      <c r="C8" s="293" t="s">
        <v>226</v>
      </c>
      <c r="D8" s="250"/>
      <c r="E8" s="250"/>
      <c r="F8" s="248"/>
      <c r="G8" s="251"/>
      <c r="H8" s="294">
        <v>0.88356000000000001</v>
      </c>
      <c r="I8" s="248"/>
      <c r="J8" s="248"/>
      <c r="K8" s="248"/>
      <c r="L8" s="248"/>
      <c r="M8" s="248"/>
      <c r="N8" s="248"/>
      <c r="O8" s="248"/>
      <c r="P8" s="245"/>
      <c r="Q8" s="249"/>
    </row>
    <row r="9" spans="2:17" s="266" customFormat="1" ht="15" collapsed="1" x14ac:dyDescent="0.25">
      <c r="B9" s="295"/>
      <c r="D9" s="296"/>
      <c r="E9" s="297"/>
      <c r="F9" s="298"/>
      <c r="G9" s="299"/>
      <c r="H9" s="300" t="s">
        <v>227</v>
      </c>
      <c r="I9" s="301"/>
      <c r="J9" s="298"/>
      <c r="K9" s="302"/>
      <c r="L9" s="303"/>
      <c r="M9" s="304"/>
      <c r="N9" s="298"/>
      <c r="O9" s="302"/>
      <c r="P9" s="295"/>
    </row>
    <row r="10" spans="2:17" s="266" customFormat="1" ht="15" x14ac:dyDescent="0.25">
      <c r="B10" s="295"/>
      <c r="D10" s="305"/>
      <c r="E10" s="306"/>
      <c r="F10" s="307"/>
      <c r="G10" s="299"/>
      <c r="H10" s="301" t="s">
        <v>49</v>
      </c>
      <c r="I10" s="301"/>
      <c r="J10" s="307"/>
      <c r="K10" s="302"/>
      <c r="L10" s="308"/>
      <c r="M10" s="309"/>
      <c r="N10" s="307"/>
      <c r="O10" s="302"/>
      <c r="P10" s="295"/>
    </row>
    <row r="11" spans="2:17" s="266" customFormat="1" ht="15" x14ac:dyDescent="0.25">
      <c r="B11" s="295"/>
      <c r="D11" s="308"/>
      <c r="E11" s="309" t="s">
        <v>228</v>
      </c>
      <c r="F11" s="307"/>
      <c r="G11" s="299"/>
      <c r="H11" s="301" t="s">
        <v>229</v>
      </c>
      <c r="I11" s="301"/>
      <c r="J11" s="301" t="s">
        <v>230</v>
      </c>
      <c r="K11" s="302"/>
      <c r="L11" s="308"/>
      <c r="M11" s="309" t="s">
        <v>231</v>
      </c>
      <c r="N11" s="307"/>
      <c r="O11" s="310"/>
      <c r="P11" s="295"/>
      <c r="Q11" s="265"/>
    </row>
    <row r="12" spans="2:17" s="266" customFormat="1" ht="15" x14ac:dyDescent="0.25">
      <c r="B12" s="295"/>
      <c r="D12" s="308" t="s">
        <v>162</v>
      </c>
      <c r="E12" s="309" t="s">
        <v>232</v>
      </c>
      <c r="F12" s="307" t="s">
        <v>212</v>
      </c>
      <c r="G12" s="299"/>
      <c r="H12" s="309" t="s">
        <v>162</v>
      </c>
      <c r="I12" s="301"/>
      <c r="J12" s="307" t="s">
        <v>212</v>
      </c>
      <c r="K12" s="302"/>
      <c r="L12" s="308" t="s">
        <v>162</v>
      </c>
      <c r="M12" s="309" t="s">
        <v>232</v>
      </c>
      <c r="N12" s="307" t="s">
        <v>212</v>
      </c>
      <c r="O12" s="310"/>
      <c r="P12" s="295"/>
      <c r="Q12" s="265"/>
    </row>
    <row r="13" spans="2:17" s="266" customFormat="1" ht="15" x14ac:dyDescent="0.25">
      <c r="B13" s="295"/>
      <c r="D13" s="308" t="s">
        <v>164</v>
      </c>
      <c r="E13" s="309" t="s">
        <v>164</v>
      </c>
      <c r="F13" s="307" t="s">
        <v>164</v>
      </c>
      <c r="G13" s="299"/>
      <c r="H13" s="309" t="s">
        <v>164</v>
      </c>
      <c r="I13" s="301"/>
      <c r="J13" s="307" t="s">
        <v>164</v>
      </c>
      <c r="K13" s="302"/>
      <c r="L13" s="308" t="s">
        <v>164</v>
      </c>
      <c r="M13" s="309" t="s">
        <v>164</v>
      </c>
      <c r="N13" s="307" t="s">
        <v>164</v>
      </c>
      <c r="O13" s="310"/>
      <c r="P13" s="295"/>
      <c r="Q13" s="265"/>
    </row>
    <row r="14" spans="2:17" s="266" customFormat="1" ht="15" x14ac:dyDescent="0.25">
      <c r="B14" s="295"/>
      <c r="D14" s="311" t="s">
        <v>233</v>
      </c>
      <c r="E14" s="312" t="s">
        <v>233</v>
      </c>
      <c r="F14" s="313" t="s">
        <v>233</v>
      </c>
      <c r="G14" s="314"/>
      <c r="H14" s="312" t="s">
        <v>233</v>
      </c>
      <c r="I14" s="315"/>
      <c r="J14" s="313" t="s">
        <v>233</v>
      </c>
      <c r="K14" s="302"/>
      <c r="L14" s="311" t="s">
        <v>233</v>
      </c>
      <c r="M14" s="312" t="s">
        <v>233</v>
      </c>
      <c r="N14" s="316" t="s">
        <v>233</v>
      </c>
      <c r="O14" s="317"/>
      <c r="P14" s="295"/>
      <c r="Q14" s="265"/>
    </row>
    <row r="15" spans="2:17" x14ac:dyDescent="0.2">
      <c r="B15" s="245"/>
      <c r="C15" s="318"/>
      <c r="D15" s="254"/>
      <c r="E15" s="255"/>
      <c r="F15" s="256"/>
      <c r="G15" s="319"/>
      <c r="H15" s="255"/>
      <c r="I15" s="320"/>
      <c r="J15" s="256"/>
      <c r="K15" s="248"/>
      <c r="L15" s="257"/>
      <c r="M15" s="258"/>
      <c r="N15" s="256"/>
      <c r="O15" s="253"/>
      <c r="P15" s="245"/>
      <c r="Q15" s="249"/>
    </row>
    <row r="16" spans="2:17" s="321" customFormat="1" ht="15" hidden="1" outlineLevel="1" x14ac:dyDescent="0.25">
      <c r="B16" s="322"/>
      <c r="C16" s="275" t="s">
        <v>234</v>
      </c>
      <c r="D16" s="323">
        <v>368382</v>
      </c>
      <c r="E16" s="324">
        <v>418921</v>
      </c>
      <c r="F16" s="325">
        <v>-50539</v>
      </c>
      <c r="G16" s="326"/>
      <c r="H16" s="327"/>
      <c r="I16" s="328"/>
      <c r="J16" s="329"/>
      <c r="K16" s="330"/>
      <c r="L16" s="331">
        <f>D16</f>
        <v>368382</v>
      </c>
      <c r="M16" s="332">
        <f>E16</f>
        <v>418921</v>
      </c>
      <c r="N16" s="333">
        <f>L16-M16</f>
        <v>-50539</v>
      </c>
      <c r="O16" s="334"/>
      <c r="P16" s="322"/>
      <c r="Q16" s="265"/>
    </row>
    <row r="17" spans="2:17" s="321" customFormat="1" ht="15" hidden="1" outlineLevel="1" x14ac:dyDescent="0.25">
      <c r="B17" s="322"/>
      <c r="C17" s="275" t="s">
        <v>235</v>
      </c>
      <c r="D17" s="335"/>
      <c r="E17" s="327"/>
      <c r="F17" s="329"/>
      <c r="G17" s="326"/>
      <c r="H17" s="336"/>
      <c r="I17" s="337"/>
      <c r="J17" s="338"/>
      <c r="K17" s="330"/>
      <c r="L17" s="331">
        <f>H17</f>
        <v>0</v>
      </c>
      <c r="M17" s="332">
        <f>I17</f>
        <v>0</v>
      </c>
      <c r="N17" s="333">
        <f>L17-M17</f>
        <v>0</v>
      </c>
      <c r="O17" s="334"/>
      <c r="P17" s="322"/>
      <c r="Q17" s="265"/>
    </row>
    <row r="18" spans="2:17" s="266" customFormat="1" ht="15" collapsed="1" x14ac:dyDescent="0.25">
      <c r="B18" s="295"/>
      <c r="C18" s="275"/>
      <c r="D18" s="339"/>
      <c r="E18" s="340"/>
      <c r="F18" s="341"/>
      <c r="G18" s="326"/>
      <c r="H18" s="340"/>
      <c r="I18" s="342"/>
      <c r="J18" s="341"/>
      <c r="K18" s="330"/>
      <c r="L18" s="331"/>
      <c r="M18" s="332"/>
      <c r="N18" s="333"/>
      <c r="O18" s="264"/>
      <c r="P18" s="295"/>
      <c r="Q18" s="265"/>
    </row>
    <row r="19" spans="2:17" ht="14.25" hidden="1" outlineLevel="1" x14ac:dyDescent="0.2">
      <c r="B19" s="295"/>
      <c r="C19" s="343" t="s">
        <v>236</v>
      </c>
      <c r="D19" s="344">
        <v>2347496.3319200003</v>
      </c>
      <c r="E19" s="345">
        <v>1373216.14374</v>
      </c>
      <c r="F19" s="346">
        <f>D19-E19</f>
        <v>974280.18818000029</v>
      </c>
      <c r="G19" s="319"/>
      <c r="H19" s="347">
        <v>570942.56322999997</v>
      </c>
      <c r="I19" s="248"/>
      <c r="J19" s="347">
        <v>-215.17939000000001</v>
      </c>
      <c r="K19" s="248"/>
      <c r="L19" s="263">
        <f>D19+H19+J19</f>
        <v>2918223.7157600001</v>
      </c>
      <c r="M19" s="348">
        <f>E19</f>
        <v>1373216.14374</v>
      </c>
      <c r="N19" s="262">
        <f>L19-M19</f>
        <v>1545007.5720200001</v>
      </c>
      <c r="O19" s="253"/>
      <c r="P19" s="237"/>
      <c r="Q19" s="249"/>
    </row>
    <row r="20" spans="2:17" s="266" customFormat="1" ht="15" collapsed="1" x14ac:dyDescent="0.25">
      <c r="B20" s="260"/>
      <c r="C20" s="261" t="s">
        <v>213</v>
      </c>
      <c r="D20" s="263">
        <f>D19</f>
        <v>2347496.3319200003</v>
      </c>
      <c r="E20" s="348">
        <f>E19</f>
        <v>1373216.14374</v>
      </c>
      <c r="F20" s="346">
        <f>D20-E20</f>
        <v>974280.18818000029</v>
      </c>
      <c r="G20" s="349"/>
      <c r="H20" s="348">
        <f>H19</f>
        <v>570942.56322999997</v>
      </c>
      <c r="I20" s="349"/>
      <c r="J20" s="262">
        <f>J19</f>
        <v>-215.17939000000001</v>
      </c>
      <c r="K20" s="350"/>
      <c r="L20" s="263">
        <f>D20+H20+J20</f>
        <v>2918223.7157600001</v>
      </c>
      <c r="M20" s="348">
        <f>E20</f>
        <v>1373216.14374</v>
      </c>
      <c r="N20" s="262">
        <f>L20-M20</f>
        <v>1545007.5720200001</v>
      </c>
      <c r="O20" s="264"/>
      <c r="P20" s="260"/>
      <c r="Q20" s="265"/>
    </row>
    <row r="21" spans="2:17" s="266" customFormat="1" ht="15" x14ac:dyDescent="0.25">
      <c r="B21" s="260"/>
      <c r="C21" s="261"/>
      <c r="D21" s="351"/>
      <c r="E21" s="350"/>
      <c r="F21" s="352"/>
      <c r="G21" s="349"/>
      <c r="H21" s="350"/>
      <c r="I21" s="353"/>
      <c r="J21" s="352"/>
      <c r="K21" s="350"/>
      <c r="L21" s="263"/>
      <c r="M21" s="348"/>
      <c r="N21" s="262"/>
      <c r="O21" s="264"/>
      <c r="P21" s="260"/>
      <c r="Q21" s="265"/>
    </row>
    <row r="22" spans="2:17" ht="14.25" hidden="1" outlineLevel="1" x14ac:dyDescent="0.2">
      <c r="B22" s="295"/>
      <c r="C22" s="343" t="s">
        <v>237</v>
      </c>
      <c r="D22" s="344">
        <v>-1090282.7492200001</v>
      </c>
      <c r="E22" s="345">
        <v>-756616.64360000007</v>
      </c>
      <c r="F22" s="346">
        <f>D22-E22</f>
        <v>-333666.10562000005</v>
      </c>
      <c r="G22" s="319"/>
      <c r="H22" s="347">
        <v>-299748.20481999998</v>
      </c>
      <c r="I22" s="248"/>
      <c r="J22" s="347">
        <v>215.17939000000001</v>
      </c>
      <c r="K22" s="248"/>
      <c r="L22" s="263">
        <f>D22+H22+J22</f>
        <v>-1389815.7746500003</v>
      </c>
      <c r="M22" s="348">
        <f>E22</f>
        <v>-756616.64360000007</v>
      </c>
      <c r="N22" s="262">
        <f>L22-M22</f>
        <v>-633199.1310500002</v>
      </c>
      <c r="O22" s="253"/>
      <c r="P22" s="237"/>
      <c r="Q22" s="249"/>
    </row>
    <row r="23" spans="2:17" s="266" customFormat="1" ht="15" collapsed="1" x14ac:dyDescent="0.25">
      <c r="B23" s="260"/>
      <c r="C23" s="261" t="s">
        <v>238</v>
      </c>
      <c r="D23" s="263">
        <f>D22</f>
        <v>-1090282.7492200001</v>
      </c>
      <c r="E23" s="348">
        <f>E22</f>
        <v>-756616.64360000007</v>
      </c>
      <c r="F23" s="346">
        <f>D23-E23</f>
        <v>-333666.10562000005</v>
      </c>
      <c r="G23" s="349"/>
      <c r="H23" s="348">
        <f>H22</f>
        <v>-299748.20481999998</v>
      </c>
      <c r="I23" s="349"/>
      <c r="J23" s="262">
        <f>J22</f>
        <v>215.17939000000001</v>
      </c>
      <c r="K23" s="350"/>
      <c r="L23" s="263">
        <f>D23+H23+J23</f>
        <v>-1389815.7746500003</v>
      </c>
      <c r="M23" s="348">
        <f>E23</f>
        <v>-756616.64360000007</v>
      </c>
      <c r="N23" s="262">
        <f>L23-M23</f>
        <v>-633199.1310500002</v>
      </c>
      <c r="O23" s="264"/>
      <c r="P23" s="260"/>
      <c r="Q23" s="265"/>
    </row>
    <row r="24" spans="2:17" s="266" customFormat="1" ht="15" x14ac:dyDescent="0.25">
      <c r="B24" s="260"/>
      <c r="C24" s="261"/>
      <c r="D24" s="351"/>
      <c r="E24" s="350"/>
      <c r="F24" s="352"/>
      <c r="G24" s="349"/>
      <c r="H24" s="350"/>
      <c r="I24" s="353"/>
      <c r="J24" s="352"/>
      <c r="K24" s="350"/>
      <c r="L24" s="263"/>
      <c r="M24" s="348"/>
      <c r="N24" s="262"/>
      <c r="O24" s="264"/>
      <c r="P24" s="260"/>
      <c r="Q24" s="265"/>
    </row>
    <row r="25" spans="2:17" s="321" customFormat="1" ht="15" x14ac:dyDescent="0.25">
      <c r="B25" s="354"/>
      <c r="C25" s="275" t="s">
        <v>214</v>
      </c>
      <c r="D25" s="277">
        <f>D20+D23</f>
        <v>1257213.5827000001</v>
      </c>
      <c r="E25" s="278">
        <f>E20+E23</f>
        <v>616599.5001399999</v>
      </c>
      <c r="F25" s="276">
        <f>D25-E25</f>
        <v>640614.08256000024</v>
      </c>
      <c r="G25" s="355"/>
      <c r="H25" s="278">
        <f>H20+H23</f>
        <v>271194.35840999999</v>
      </c>
      <c r="I25" s="355"/>
      <c r="J25" s="276">
        <f>J20+J23</f>
        <v>0</v>
      </c>
      <c r="K25" s="356"/>
      <c r="L25" s="277">
        <f>D25+H25+J25</f>
        <v>1528407.94111</v>
      </c>
      <c r="M25" s="278">
        <f>E25</f>
        <v>616599.5001399999</v>
      </c>
      <c r="N25" s="276">
        <f>L25-M25</f>
        <v>911808.44097000011</v>
      </c>
      <c r="O25" s="334"/>
      <c r="P25" s="354"/>
      <c r="Q25" s="265"/>
    </row>
    <row r="26" spans="2:17" ht="14.25" hidden="1" outlineLevel="1" x14ac:dyDescent="0.2">
      <c r="B26" s="237"/>
      <c r="C26" s="357"/>
      <c r="D26" s="358"/>
      <c r="E26" s="359"/>
      <c r="F26" s="270"/>
      <c r="G26" s="360"/>
      <c r="H26" s="359"/>
      <c r="I26" s="361"/>
      <c r="J26" s="270"/>
      <c r="K26" s="362"/>
      <c r="L26" s="271"/>
      <c r="M26" s="272"/>
      <c r="N26" s="273"/>
      <c r="O26" s="274"/>
      <c r="P26" s="237"/>
      <c r="Q26" s="249"/>
    </row>
    <row r="27" spans="2:17" ht="15" hidden="1" outlineLevel="1" x14ac:dyDescent="0.25">
      <c r="B27" s="237"/>
      <c r="C27" s="252" t="s">
        <v>239</v>
      </c>
      <c r="D27" s="267">
        <f>D25*1000/D16</f>
        <v>3412.7986239827137</v>
      </c>
      <c r="E27" s="269">
        <f>E25*1000/E16</f>
        <v>1471.8753658565693</v>
      </c>
      <c r="F27" s="270">
        <f>D27-E27</f>
        <v>1940.9232581261444</v>
      </c>
      <c r="G27" s="361"/>
      <c r="H27" s="268"/>
      <c r="I27" s="363"/>
      <c r="J27" s="364"/>
      <c r="K27" s="269"/>
      <c r="L27" s="271">
        <f>D27</f>
        <v>3412.7986239827137</v>
      </c>
      <c r="M27" s="272">
        <f>E27</f>
        <v>1471.8753658565693</v>
      </c>
      <c r="N27" s="273">
        <f>L27-M27</f>
        <v>1940.9232581261444</v>
      </c>
      <c r="O27" s="274"/>
      <c r="P27" s="237"/>
      <c r="Q27" s="249"/>
    </row>
    <row r="28" spans="2:17" ht="14.25" hidden="1" outlineLevel="1" x14ac:dyDescent="0.2">
      <c r="B28" s="237"/>
      <c r="C28" s="252"/>
      <c r="D28" s="365"/>
      <c r="E28" s="362"/>
      <c r="F28" s="366"/>
      <c r="G28" s="361"/>
      <c r="H28" s="362"/>
      <c r="I28" s="367"/>
      <c r="J28" s="366"/>
      <c r="K28" s="362"/>
      <c r="L28" s="271"/>
      <c r="M28" s="272"/>
      <c r="N28" s="273"/>
      <c r="O28" s="274"/>
      <c r="P28" s="237"/>
      <c r="Q28" s="249"/>
    </row>
    <row r="29" spans="2:17" ht="14.25" hidden="1" outlineLevel="1" x14ac:dyDescent="0.2">
      <c r="B29" s="237"/>
      <c r="C29" s="252" t="s">
        <v>240</v>
      </c>
      <c r="D29" s="368"/>
      <c r="E29" s="369"/>
      <c r="F29" s="370"/>
      <c r="G29" s="361"/>
      <c r="H29" s="362"/>
      <c r="I29" s="367"/>
      <c r="J29" s="366"/>
      <c r="K29" s="362"/>
      <c r="L29" s="271"/>
      <c r="M29" s="272"/>
      <c r="N29" s="273"/>
      <c r="O29" s="274"/>
      <c r="P29" s="237"/>
      <c r="Q29" s="249"/>
    </row>
    <row r="30" spans="2:17" ht="14.25" hidden="1" outlineLevel="1" x14ac:dyDescent="0.2">
      <c r="B30" s="237"/>
      <c r="C30" s="252" t="s">
        <v>215</v>
      </c>
      <c r="D30" s="279">
        <f>D25/D20</f>
        <v>0.53555507866192675</v>
      </c>
      <c r="E30" s="371">
        <f>E25/E20</f>
        <v>0.44901853430055855</v>
      </c>
      <c r="F30" s="372">
        <f>D30-E30</f>
        <v>8.6536544361368206E-2</v>
      </c>
      <c r="G30" s="361"/>
      <c r="H30" s="371">
        <f>H25/H20</f>
        <v>0.47499411652858564</v>
      </c>
      <c r="I30" s="373"/>
      <c r="J30" s="372">
        <f>H30-I30</f>
        <v>0.47499411652858564</v>
      </c>
      <c r="K30" s="269"/>
      <c r="L30" s="279">
        <f>L25/L20</f>
        <v>0.52374598042492881</v>
      </c>
      <c r="M30" s="371">
        <f>M25/M20</f>
        <v>0.44901853430055855</v>
      </c>
      <c r="N30" s="374">
        <f>L30-M30</f>
        <v>7.4727446124370267E-2</v>
      </c>
      <c r="O30" s="274"/>
      <c r="P30" s="237"/>
      <c r="Q30" s="249"/>
    </row>
    <row r="31" spans="2:17" ht="14.25" collapsed="1" x14ac:dyDescent="0.2">
      <c r="B31" s="237"/>
      <c r="C31" s="252"/>
      <c r="D31" s="365"/>
      <c r="E31" s="362"/>
      <c r="F31" s="375"/>
      <c r="G31" s="361"/>
      <c r="H31" s="362"/>
      <c r="I31" s="376"/>
      <c r="J31" s="375"/>
      <c r="K31" s="362"/>
      <c r="L31" s="271"/>
      <c r="M31" s="272"/>
      <c r="N31" s="273"/>
      <c r="O31" s="274"/>
      <c r="P31" s="237"/>
      <c r="Q31" s="249"/>
    </row>
    <row r="32" spans="2:17" ht="14.25" hidden="1" outlineLevel="1" x14ac:dyDescent="0.2">
      <c r="B32" s="295"/>
      <c r="C32" s="343" t="s">
        <v>241</v>
      </c>
      <c r="D32" s="344">
        <v>-333789.93163000001</v>
      </c>
      <c r="E32" s="345">
        <v>-281364.86525999999</v>
      </c>
      <c r="F32" s="346">
        <f>D32-E32</f>
        <v>-52425.066370000015</v>
      </c>
      <c r="G32" s="319"/>
      <c r="H32" s="347">
        <v>-170600.24553000001</v>
      </c>
      <c r="I32" s="248"/>
      <c r="J32" s="347">
        <v>0</v>
      </c>
      <c r="K32" s="248"/>
      <c r="L32" s="263">
        <f>D32+H32+J32</f>
        <v>-504390.17716000002</v>
      </c>
      <c r="M32" s="348">
        <f t="shared" ref="M32:M42" si="0">E32</f>
        <v>-281364.86525999999</v>
      </c>
      <c r="N32" s="262">
        <f>L32-M32</f>
        <v>-223025.31190000003</v>
      </c>
      <c r="O32" s="253"/>
      <c r="P32" s="237"/>
      <c r="Q32" s="249"/>
    </row>
    <row r="33" spans="2:17" ht="14.25" hidden="1" outlineLevel="1" x14ac:dyDescent="0.2">
      <c r="B33" s="295"/>
      <c r="C33" s="343" t="s">
        <v>242</v>
      </c>
      <c r="D33" s="344">
        <v>-6022.7343700000001</v>
      </c>
      <c r="E33" s="345">
        <v>8511.0356400000001</v>
      </c>
      <c r="F33" s="346">
        <f>D33-E33</f>
        <v>-14533.77001</v>
      </c>
      <c r="G33" s="319"/>
      <c r="H33" s="347">
        <v>0</v>
      </c>
      <c r="I33" s="248"/>
      <c r="J33" s="347">
        <v>0</v>
      </c>
      <c r="K33" s="248"/>
      <c r="L33" s="263">
        <f>D33+H33+J33</f>
        <v>-6022.7343700000001</v>
      </c>
      <c r="M33" s="348">
        <f t="shared" si="0"/>
        <v>8511.0356400000001</v>
      </c>
      <c r="N33" s="262">
        <f>L33-M33</f>
        <v>-14533.77001</v>
      </c>
      <c r="O33" s="253"/>
      <c r="P33" s="237"/>
      <c r="Q33" s="249"/>
    </row>
    <row r="34" spans="2:17" s="321" customFormat="1" ht="15" collapsed="1" x14ac:dyDescent="0.25">
      <c r="B34" s="354"/>
      <c r="C34" s="275" t="s">
        <v>243</v>
      </c>
      <c r="D34" s="277">
        <f>+D32+D33</f>
        <v>-339812.66600000003</v>
      </c>
      <c r="E34" s="278">
        <f>+E32+E33</f>
        <v>-272853.82961999997</v>
      </c>
      <c r="F34" s="276">
        <f>D34-E34</f>
        <v>-66958.836380000052</v>
      </c>
      <c r="G34" s="355"/>
      <c r="H34" s="278">
        <f>+H32+H33</f>
        <v>-170600.24553000001</v>
      </c>
      <c r="I34" s="355"/>
      <c r="J34" s="276">
        <f>+J32+J33</f>
        <v>0</v>
      </c>
      <c r="K34" s="356"/>
      <c r="L34" s="277">
        <f>D34+H34+J34</f>
        <v>-510412.91153000004</v>
      </c>
      <c r="M34" s="278">
        <f t="shared" si="0"/>
        <v>-272853.82961999997</v>
      </c>
      <c r="N34" s="276">
        <f>L34-M34</f>
        <v>-237559.08191000007</v>
      </c>
      <c r="O34" s="334"/>
      <c r="P34" s="354"/>
      <c r="Q34" s="265"/>
    </row>
    <row r="35" spans="2:17" ht="14.25" hidden="1" outlineLevel="1" x14ac:dyDescent="0.2">
      <c r="B35" s="295"/>
      <c r="C35" s="343" t="s">
        <v>242</v>
      </c>
      <c r="D35" s="344">
        <v>6022.7343700000001</v>
      </c>
      <c r="E35" s="345">
        <v>-8511.0356400000001</v>
      </c>
      <c r="F35" s="346">
        <f t="shared" ref="F35:F52" si="1">D35-E35</f>
        <v>14533.77001</v>
      </c>
      <c r="G35" s="319"/>
      <c r="H35" s="347">
        <v>0</v>
      </c>
      <c r="I35" s="248"/>
      <c r="J35" s="347">
        <v>0</v>
      </c>
      <c r="K35" s="248"/>
      <c r="L35" s="263">
        <f t="shared" ref="L35:L42" si="2">D35+H35+J35</f>
        <v>6022.7343700000001</v>
      </c>
      <c r="M35" s="348">
        <f t="shared" si="0"/>
        <v>-8511.0356400000001</v>
      </c>
      <c r="N35" s="262">
        <f t="shared" ref="N35:N42" si="3">L35-M35</f>
        <v>14533.77001</v>
      </c>
      <c r="O35" s="253"/>
      <c r="P35" s="237"/>
      <c r="Q35" s="249"/>
    </row>
    <row r="36" spans="2:17" s="266" customFormat="1" ht="15" collapsed="1" x14ac:dyDescent="0.25">
      <c r="B36" s="260"/>
      <c r="C36" s="261" t="s">
        <v>216</v>
      </c>
      <c r="D36" s="263">
        <f>D35</f>
        <v>6022.7343700000001</v>
      </c>
      <c r="E36" s="348">
        <f>E35</f>
        <v>-8511.0356400000001</v>
      </c>
      <c r="F36" s="262">
        <f t="shared" si="1"/>
        <v>14533.77001</v>
      </c>
      <c r="G36" s="349"/>
      <c r="H36" s="348">
        <f>H35</f>
        <v>0</v>
      </c>
      <c r="I36" s="349"/>
      <c r="J36" s="262">
        <f>J35</f>
        <v>0</v>
      </c>
      <c r="K36" s="350"/>
      <c r="L36" s="263">
        <f t="shared" si="2"/>
        <v>6022.7343700000001</v>
      </c>
      <c r="M36" s="348">
        <f t="shared" si="0"/>
        <v>-8511.0356400000001</v>
      </c>
      <c r="N36" s="262">
        <f t="shared" si="3"/>
        <v>14533.77001</v>
      </c>
      <c r="O36" s="264"/>
      <c r="P36" s="260"/>
      <c r="Q36" s="265"/>
    </row>
    <row r="37" spans="2:17" ht="14.25" hidden="1" outlineLevel="1" x14ac:dyDescent="0.2">
      <c r="B37" s="295"/>
      <c r="C37" s="343" t="s">
        <v>244</v>
      </c>
      <c r="D37" s="344">
        <v>0</v>
      </c>
      <c r="E37" s="345">
        <v>0</v>
      </c>
      <c r="F37" s="346">
        <f t="shared" si="1"/>
        <v>0</v>
      </c>
      <c r="G37" s="319"/>
      <c r="H37" s="347">
        <v>6731.5691100000004</v>
      </c>
      <c r="I37" s="248"/>
      <c r="J37" s="347">
        <v>0</v>
      </c>
      <c r="K37" s="248"/>
      <c r="L37" s="263">
        <f t="shared" si="2"/>
        <v>6731.5691100000004</v>
      </c>
      <c r="M37" s="348">
        <f t="shared" si="0"/>
        <v>0</v>
      </c>
      <c r="N37" s="262">
        <f t="shared" si="3"/>
        <v>6731.5691100000004</v>
      </c>
      <c r="O37" s="253"/>
      <c r="P37" s="237"/>
      <c r="Q37" s="249"/>
    </row>
    <row r="38" spans="2:17" s="266" customFormat="1" ht="15" collapsed="1" x14ac:dyDescent="0.25">
      <c r="B38" s="260"/>
      <c r="C38" s="261" t="s">
        <v>217</v>
      </c>
      <c r="D38" s="263">
        <f>D37</f>
        <v>0</v>
      </c>
      <c r="E38" s="348">
        <f>E37</f>
        <v>0</v>
      </c>
      <c r="F38" s="262">
        <f t="shared" si="1"/>
        <v>0</v>
      </c>
      <c r="G38" s="349"/>
      <c r="H38" s="348">
        <f>H37</f>
        <v>6731.5691100000004</v>
      </c>
      <c r="I38" s="349"/>
      <c r="J38" s="262">
        <f>J37</f>
        <v>0</v>
      </c>
      <c r="K38" s="350"/>
      <c r="L38" s="263">
        <f t="shared" si="2"/>
        <v>6731.5691100000004</v>
      </c>
      <c r="M38" s="348">
        <f t="shared" si="0"/>
        <v>0</v>
      </c>
      <c r="N38" s="262">
        <f t="shared" si="3"/>
        <v>6731.5691100000004</v>
      </c>
      <c r="O38" s="264"/>
      <c r="P38" s="260"/>
      <c r="Q38" s="265"/>
    </row>
    <row r="39" spans="2:17" ht="14.25" hidden="1" outlineLevel="1" x14ac:dyDescent="0.2">
      <c r="B39" s="295"/>
      <c r="C39" s="343" t="s">
        <v>245</v>
      </c>
      <c r="D39" s="344">
        <v>-40297.519319999999</v>
      </c>
      <c r="E39" s="345">
        <v>-36057.996749999998</v>
      </c>
      <c r="F39" s="346">
        <f>D39-E39</f>
        <v>-4239.522570000001</v>
      </c>
      <c r="G39" s="319"/>
      <c r="H39" s="347">
        <v>-29959.698059999999</v>
      </c>
      <c r="I39" s="248"/>
      <c r="J39" s="347">
        <v>0</v>
      </c>
      <c r="K39" s="248"/>
      <c r="L39" s="263">
        <f t="shared" si="2"/>
        <v>-70257.217380000002</v>
      </c>
      <c r="M39" s="348">
        <f t="shared" si="0"/>
        <v>-36057.996749999998</v>
      </c>
      <c r="N39" s="262">
        <f t="shared" si="3"/>
        <v>-34199.220630000003</v>
      </c>
      <c r="O39" s="253"/>
      <c r="P39" s="237"/>
      <c r="Q39" s="249"/>
    </row>
    <row r="40" spans="2:17" s="266" customFormat="1" ht="15" collapsed="1" x14ac:dyDescent="0.25">
      <c r="B40" s="260"/>
      <c r="C40" s="261" t="s">
        <v>219</v>
      </c>
      <c r="D40" s="263">
        <f>D39</f>
        <v>-40297.519319999999</v>
      </c>
      <c r="E40" s="348">
        <f>E39</f>
        <v>-36057.996749999998</v>
      </c>
      <c r="F40" s="262">
        <f t="shared" si="1"/>
        <v>-4239.522570000001</v>
      </c>
      <c r="G40" s="349"/>
      <c r="H40" s="348">
        <f>H39</f>
        <v>-29959.698059999999</v>
      </c>
      <c r="I40" s="349"/>
      <c r="J40" s="262">
        <f>J39</f>
        <v>0</v>
      </c>
      <c r="K40" s="350"/>
      <c r="L40" s="263">
        <f t="shared" si="2"/>
        <v>-70257.217380000002</v>
      </c>
      <c r="M40" s="348">
        <f t="shared" si="0"/>
        <v>-36057.996749999998</v>
      </c>
      <c r="N40" s="262">
        <f t="shared" si="3"/>
        <v>-34199.220630000003</v>
      </c>
      <c r="O40" s="264"/>
      <c r="P40" s="260"/>
      <c r="Q40" s="265"/>
    </row>
    <row r="41" spans="2:17" ht="14.25" hidden="1" outlineLevel="1" x14ac:dyDescent="0.2">
      <c r="B41" s="295"/>
      <c r="C41" s="343" t="s">
        <v>246</v>
      </c>
      <c r="D41" s="344">
        <v>17485.923890000002</v>
      </c>
      <c r="E41" s="345">
        <v>10324.692789999999</v>
      </c>
      <c r="F41" s="346">
        <f>D41-E41</f>
        <v>7161.2311000000027</v>
      </c>
      <c r="G41" s="319"/>
      <c r="H41" s="347">
        <v>2225.1576500000001</v>
      </c>
      <c r="I41" s="248"/>
      <c r="J41" s="347">
        <v>-10979.867249999999</v>
      </c>
      <c r="K41" s="248"/>
      <c r="L41" s="263">
        <f t="shared" si="2"/>
        <v>8731.2142900000035</v>
      </c>
      <c r="M41" s="348">
        <f t="shared" si="0"/>
        <v>10324.692789999999</v>
      </c>
      <c r="N41" s="262">
        <f t="shared" si="3"/>
        <v>-1593.4784999999956</v>
      </c>
      <c r="O41" s="253"/>
      <c r="P41" s="237"/>
      <c r="Q41" s="249"/>
    </row>
    <row r="42" spans="2:17" s="266" customFormat="1" ht="15" collapsed="1" x14ac:dyDescent="0.25">
      <c r="B42" s="260"/>
      <c r="C42" s="261" t="s">
        <v>218</v>
      </c>
      <c r="D42" s="263">
        <f>D41</f>
        <v>17485.923890000002</v>
      </c>
      <c r="E42" s="348">
        <f>E41</f>
        <v>10324.692789999999</v>
      </c>
      <c r="F42" s="262">
        <f t="shared" si="1"/>
        <v>7161.2311000000027</v>
      </c>
      <c r="G42" s="349"/>
      <c r="H42" s="348">
        <f>H41</f>
        <v>2225.1576500000001</v>
      </c>
      <c r="I42" s="349"/>
      <c r="J42" s="262">
        <f>J41</f>
        <v>-10979.867249999999</v>
      </c>
      <c r="K42" s="350"/>
      <c r="L42" s="263">
        <f t="shared" si="2"/>
        <v>8731.2142900000035</v>
      </c>
      <c r="M42" s="348">
        <f t="shared" si="0"/>
        <v>10324.692789999999</v>
      </c>
      <c r="N42" s="262">
        <f t="shared" si="3"/>
        <v>-1593.4784999999956</v>
      </c>
      <c r="O42" s="264"/>
      <c r="P42" s="260"/>
      <c r="Q42" s="265"/>
    </row>
    <row r="43" spans="2:17" s="266" customFormat="1" ht="15.75" thickBot="1" x14ac:dyDescent="0.3">
      <c r="B43" s="260"/>
      <c r="C43" s="261"/>
      <c r="D43" s="377"/>
      <c r="E43" s="378"/>
      <c r="F43" s="379"/>
      <c r="G43" s="349"/>
      <c r="H43" s="378"/>
      <c r="I43" s="353"/>
      <c r="J43" s="380"/>
      <c r="K43" s="350"/>
      <c r="L43" s="381"/>
      <c r="M43" s="382"/>
      <c r="N43" s="380"/>
      <c r="O43" s="264"/>
      <c r="P43" s="260"/>
      <c r="Q43" s="265"/>
    </row>
    <row r="44" spans="2:17" s="287" customFormat="1" ht="15.75" x14ac:dyDescent="0.25">
      <c r="B44" s="280"/>
      <c r="C44" s="281" t="s">
        <v>15</v>
      </c>
      <c r="D44" s="282">
        <f>D25+D34+D36+D38+D40+D42</f>
        <v>900612.05564000015</v>
      </c>
      <c r="E44" s="284">
        <f>E25+E34+E36+E38+E40+E42</f>
        <v>309501.33091999992</v>
      </c>
      <c r="F44" s="283">
        <f t="shared" si="1"/>
        <v>591110.72472000029</v>
      </c>
      <c r="G44" s="383"/>
      <c r="H44" s="284">
        <f>H25+H34+H36+H38+H40+H42</f>
        <v>79591.141579999967</v>
      </c>
      <c r="I44" s="383"/>
      <c r="J44" s="283">
        <f>J25+J34+J36+J38+J40+J42</f>
        <v>-10979.867249999999</v>
      </c>
      <c r="K44" s="384"/>
      <c r="L44" s="282">
        <f>D44+H44+J44</f>
        <v>969223.32997000008</v>
      </c>
      <c r="M44" s="284">
        <f t="shared" ref="M44:M52" si="4">E44</f>
        <v>309501.33091999992</v>
      </c>
      <c r="N44" s="283">
        <f>L44-M44</f>
        <v>659721.99905000022</v>
      </c>
      <c r="O44" s="285"/>
      <c r="P44" s="280"/>
      <c r="Q44" s="286"/>
    </row>
    <row r="45" spans="2:17" ht="14.25" hidden="1" outlineLevel="1" x14ac:dyDescent="0.2">
      <c r="B45" s="295"/>
      <c r="C45" s="343" t="s">
        <v>247</v>
      </c>
      <c r="D45" s="344">
        <v>2.5705100000000001</v>
      </c>
      <c r="E45" s="345">
        <v>3020.07384</v>
      </c>
      <c r="F45" s="346">
        <f t="shared" si="1"/>
        <v>-3017.50333</v>
      </c>
      <c r="G45" s="319"/>
      <c r="H45" s="347">
        <v>0</v>
      </c>
      <c r="I45" s="248"/>
      <c r="J45" s="347">
        <v>0</v>
      </c>
      <c r="K45" s="248"/>
      <c r="L45" s="263">
        <f t="shared" ref="L45:L52" si="5">D45+H45+J45</f>
        <v>2.5705100000000001</v>
      </c>
      <c r="M45" s="348">
        <f t="shared" si="4"/>
        <v>3020.07384</v>
      </c>
      <c r="N45" s="262">
        <f t="shared" ref="N45:N52" si="6">L45-M45</f>
        <v>-3017.50333</v>
      </c>
      <c r="O45" s="253"/>
      <c r="P45" s="237"/>
      <c r="Q45" s="249"/>
    </row>
    <row r="46" spans="2:17" ht="14.25" hidden="1" outlineLevel="1" x14ac:dyDescent="0.2">
      <c r="B46" s="295"/>
      <c r="C46" s="343" t="s">
        <v>248</v>
      </c>
      <c r="D46" s="344">
        <v>-43411.919130000002</v>
      </c>
      <c r="E46" s="345">
        <v>-28787.424030000002</v>
      </c>
      <c r="F46" s="346">
        <f t="shared" si="1"/>
        <v>-14624.4951</v>
      </c>
      <c r="G46" s="319"/>
      <c r="H46" s="347">
        <v>-37277.561900000001</v>
      </c>
      <c r="I46" s="248"/>
      <c r="J46" s="347">
        <v>0</v>
      </c>
      <c r="K46" s="248"/>
      <c r="L46" s="263">
        <f t="shared" si="5"/>
        <v>-80689.481029999995</v>
      </c>
      <c r="M46" s="348">
        <f t="shared" si="4"/>
        <v>-28787.424030000002</v>
      </c>
      <c r="N46" s="262">
        <f t="shared" si="6"/>
        <v>-51902.056999999993</v>
      </c>
      <c r="O46" s="253"/>
      <c r="P46" s="237"/>
      <c r="Q46" s="249"/>
    </row>
    <row r="47" spans="2:17" s="266" customFormat="1" ht="15" collapsed="1" x14ac:dyDescent="0.25">
      <c r="B47" s="260"/>
      <c r="C47" s="261" t="s">
        <v>220</v>
      </c>
      <c r="D47" s="263">
        <f>D46+D45</f>
        <v>-43409.348620000004</v>
      </c>
      <c r="E47" s="348">
        <f>E46+E45</f>
        <v>-25767.350190000001</v>
      </c>
      <c r="F47" s="262">
        <f t="shared" si="1"/>
        <v>-17641.998430000003</v>
      </c>
      <c r="G47" s="349"/>
      <c r="H47" s="348">
        <f>H46+H45</f>
        <v>-37277.561900000001</v>
      </c>
      <c r="I47" s="349"/>
      <c r="J47" s="262">
        <f>J46+J45</f>
        <v>0</v>
      </c>
      <c r="K47" s="350"/>
      <c r="L47" s="263">
        <f t="shared" si="5"/>
        <v>-80686.910520000005</v>
      </c>
      <c r="M47" s="348">
        <f t="shared" si="4"/>
        <v>-25767.350190000001</v>
      </c>
      <c r="N47" s="262">
        <f t="shared" si="6"/>
        <v>-54919.560330000008</v>
      </c>
      <c r="O47" s="264"/>
      <c r="P47" s="260"/>
      <c r="Q47" s="265"/>
    </row>
    <row r="48" spans="2:17" ht="14.25" hidden="1" outlineLevel="1" x14ac:dyDescent="0.2">
      <c r="B48" s="295"/>
      <c r="C48" s="343" t="s">
        <v>249</v>
      </c>
      <c r="D48" s="344">
        <v>0</v>
      </c>
      <c r="E48" s="345">
        <v>0</v>
      </c>
      <c r="F48" s="346">
        <f t="shared" si="1"/>
        <v>0</v>
      </c>
      <c r="G48" s="319"/>
      <c r="H48" s="347">
        <v>0</v>
      </c>
      <c r="I48" s="248"/>
      <c r="J48" s="347">
        <v>0</v>
      </c>
      <c r="K48" s="248"/>
      <c r="L48" s="263">
        <f t="shared" si="5"/>
        <v>0</v>
      </c>
      <c r="M48" s="348">
        <f t="shared" si="4"/>
        <v>0</v>
      </c>
      <c r="N48" s="262">
        <f t="shared" si="6"/>
        <v>0</v>
      </c>
      <c r="O48" s="253"/>
      <c r="P48" s="237"/>
      <c r="Q48" s="249"/>
    </row>
    <row r="49" spans="2:17" s="266" customFormat="1" ht="15" hidden="1" outlineLevel="1" collapsed="1" x14ac:dyDescent="0.25">
      <c r="B49" s="260"/>
      <c r="C49" s="261" t="s">
        <v>250</v>
      </c>
      <c r="D49" s="263">
        <f>D48</f>
        <v>0</v>
      </c>
      <c r="E49" s="348">
        <f>E48</f>
        <v>0</v>
      </c>
      <c r="F49" s="262">
        <f t="shared" si="1"/>
        <v>0</v>
      </c>
      <c r="G49" s="349"/>
      <c r="H49" s="348">
        <f>H48</f>
        <v>0</v>
      </c>
      <c r="I49" s="349"/>
      <c r="J49" s="262">
        <f>J48</f>
        <v>0</v>
      </c>
      <c r="K49" s="350"/>
      <c r="L49" s="263">
        <f t="shared" si="5"/>
        <v>0</v>
      </c>
      <c r="M49" s="348">
        <f t="shared" si="4"/>
        <v>0</v>
      </c>
      <c r="N49" s="262">
        <f t="shared" si="6"/>
        <v>0</v>
      </c>
      <c r="O49" s="264"/>
      <c r="P49" s="260"/>
      <c r="Q49" s="265"/>
    </row>
    <row r="50" spans="2:17" ht="14.25" hidden="1" outlineLevel="1" x14ac:dyDescent="0.2">
      <c r="B50" s="295"/>
      <c r="C50" s="343" t="s">
        <v>251</v>
      </c>
      <c r="D50" s="344">
        <v>-234768.8181</v>
      </c>
      <c r="E50" s="345">
        <v>-82359.362699999998</v>
      </c>
      <c r="F50" s="346">
        <f t="shared" si="1"/>
        <v>-152409.45540000001</v>
      </c>
      <c r="G50" s="319"/>
      <c r="H50" s="347">
        <v>-4559.23146</v>
      </c>
      <c r="I50" s="248"/>
      <c r="J50" s="347">
        <v>3293.9598700000001</v>
      </c>
      <c r="K50" s="248"/>
      <c r="L50" s="263">
        <f t="shared" si="5"/>
        <v>-236034.08969000002</v>
      </c>
      <c r="M50" s="348">
        <f t="shared" si="4"/>
        <v>-82359.362699999998</v>
      </c>
      <c r="N50" s="262">
        <f t="shared" si="6"/>
        <v>-153674.72699000002</v>
      </c>
      <c r="O50" s="253"/>
      <c r="P50" s="237"/>
      <c r="Q50" s="249"/>
    </row>
    <row r="51" spans="2:17" ht="14.25" hidden="1" outlineLevel="1" x14ac:dyDescent="0.2">
      <c r="B51" s="295"/>
      <c r="C51" s="343" t="s">
        <v>252</v>
      </c>
      <c r="D51" s="344">
        <v>-5170.3444900000004</v>
      </c>
      <c r="E51" s="345">
        <v>1283.0444499999999</v>
      </c>
      <c r="F51" s="346">
        <f t="shared" si="1"/>
        <v>-6453.3889400000007</v>
      </c>
      <c r="G51" s="319"/>
      <c r="H51" s="347">
        <v>0</v>
      </c>
      <c r="I51" s="248"/>
      <c r="J51" s="347">
        <v>0</v>
      </c>
      <c r="K51" s="248"/>
      <c r="L51" s="263">
        <f t="shared" si="5"/>
        <v>-5170.3444900000004</v>
      </c>
      <c r="M51" s="348">
        <f t="shared" si="4"/>
        <v>1283.0444499999999</v>
      </c>
      <c r="N51" s="262">
        <f t="shared" si="6"/>
        <v>-6453.3889400000007</v>
      </c>
      <c r="O51" s="253"/>
      <c r="P51" s="237"/>
      <c r="Q51" s="249"/>
    </row>
    <row r="52" spans="2:17" s="266" customFormat="1" ht="15" collapsed="1" x14ac:dyDescent="0.25">
      <c r="B52" s="260"/>
      <c r="C52" s="261" t="s">
        <v>221</v>
      </c>
      <c r="D52" s="263">
        <f>D51+D50</f>
        <v>-239939.16258999999</v>
      </c>
      <c r="E52" s="348">
        <f>E51+E50</f>
        <v>-81076.318249999997</v>
      </c>
      <c r="F52" s="262">
        <f t="shared" si="1"/>
        <v>-158862.84434000001</v>
      </c>
      <c r="G52" s="349"/>
      <c r="H52" s="348">
        <f>H51+H50-H58</f>
        <v>5306.0144989360006</v>
      </c>
      <c r="I52" s="349"/>
      <c r="J52" s="262">
        <f>J51+J50</f>
        <v>3293.9598700000001</v>
      </c>
      <c r="K52" s="350"/>
      <c r="L52" s="263">
        <f t="shared" si="5"/>
        <v>-231339.18822106399</v>
      </c>
      <c r="M52" s="348">
        <f t="shared" si="4"/>
        <v>-81076.318249999997</v>
      </c>
      <c r="N52" s="262">
        <f t="shared" si="6"/>
        <v>-150262.86997106398</v>
      </c>
      <c r="O52" s="264"/>
      <c r="P52" s="260"/>
      <c r="Q52" s="265"/>
    </row>
    <row r="53" spans="2:17" s="266" customFormat="1" ht="15.75" thickBot="1" x14ac:dyDescent="0.3">
      <c r="B53" s="260"/>
      <c r="C53" s="261"/>
      <c r="D53" s="377"/>
      <c r="E53" s="378"/>
      <c r="F53" s="379"/>
      <c r="G53" s="349"/>
      <c r="H53" s="378"/>
      <c r="I53" s="353"/>
      <c r="J53" s="380"/>
      <c r="K53" s="350"/>
      <c r="L53" s="381"/>
      <c r="M53" s="382"/>
      <c r="N53" s="380"/>
      <c r="O53" s="264"/>
      <c r="P53" s="260"/>
      <c r="Q53" s="265"/>
    </row>
    <row r="54" spans="2:17" s="287" customFormat="1" ht="15.75" x14ac:dyDescent="0.25">
      <c r="B54" s="280"/>
      <c r="C54" s="281" t="s">
        <v>222</v>
      </c>
      <c r="D54" s="282">
        <f>D44+D47+D49+D52</f>
        <v>617263.54443000013</v>
      </c>
      <c r="E54" s="284">
        <f>E44+E47+E49+E52</f>
        <v>202657.66247999988</v>
      </c>
      <c r="F54" s="283">
        <f>D54-E54</f>
        <v>414605.88195000024</v>
      </c>
      <c r="G54" s="383"/>
      <c r="H54" s="284">
        <f>H44+H47+H49+H52</f>
        <v>47619.594178935964</v>
      </c>
      <c r="I54" s="383"/>
      <c r="J54" s="283">
        <f>J44+J47+J49+J52</f>
        <v>-7685.9073799999987</v>
      </c>
      <c r="K54" s="384"/>
      <c r="L54" s="282">
        <f>D54+H54+J54</f>
        <v>657197.23122893611</v>
      </c>
      <c r="M54" s="284">
        <f>E54</f>
        <v>202657.66247999988</v>
      </c>
      <c r="N54" s="283">
        <f>L54-M54</f>
        <v>454539.56874893623</v>
      </c>
      <c r="O54" s="285"/>
      <c r="P54" s="280"/>
      <c r="Q54" s="286"/>
    </row>
    <row r="55" spans="2:17" ht="14.25" hidden="1" outlineLevel="1" x14ac:dyDescent="0.2">
      <c r="B55" s="295"/>
      <c r="C55" s="343" t="s">
        <v>253</v>
      </c>
      <c r="D55" s="344">
        <v>-17234.481640000002</v>
      </c>
      <c r="E55" s="345">
        <v>3934.1113</v>
      </c>
      <c r="F55" s="346">
        <f>D55-E55</f>
        <v>-21168.592940000002</v>
      </c>
      <c r="G55" s="319"/>
      <c r="H55" s="347">
        <v>-20930.912969999998</v>
      </c>
      <c r="I55" s="248"/>
      <c r="J55" s="347">
        <v>0</v>
      </c>
      <c r="K55" s="248"/>
      <c r="L55" s="263">
        <f>D55+H55+J55</f>
        <v>-38165.394610000003</v>
      </c>
      <c r="M55" s="348">
        <f>E55</f>
        <v>3934.1113</v>
      </c>
      <c r="N55" s="262">
        <f>L55-M55</f>
        <v>-42099.50591</v>
      </c>
      <c r="O55" s="253"/>
      <c r="P55" s="237"/>
      <c r="Q55" s="249"/>
    </row>
    <row r="56" spans="2:17" s="266" customFormat="1" ht="15" collapsed="1" x14ac:dyDescent="0.25">
      <c r="B56" s="260"/>
      <c r="C56" s="261" t="s">
        <v>254</v>
      </c>
      <c r="D56" s="263">
        <f>D55</f>
        <v>-17234.481640000002</v>
      </c>
      <c r="E56" s="348">
        <f>E55</f>
        <v>3934.1113</v>
      </c>
      <c r="F56" s="262">
        <f>D56-E56</f>
        <v>-21168.592940000002</v>
      </c>
      <c r="G56" s="349"/>
      <c r="H56" s="348">
        <f>H55</f>
        <v>-20930.912969999998</v>
      </c>
      <c r="I56" s="349"/>
      <c r="J56" s="262">
        <f>J55</f>
        <v>0</v>
      </c>
      <c r="K56" s="350"/>
      <c r="L56" s="263">
        <f>D56+H56+J56</f>
        <v>-38165.394610000003</v>
      </c>
      <c r="M56" s="348">
        <f>E56</f>
        <v>3934.1113</v>
      </c>
      <c r="N56" s="262">
        <f>L56-M56</f>
        <v>-42099.50591</v>
      </c>
      <c r="O56" s="264"/>
      <c r="P56" s="260"/>
      <c r="Q56" s="265"/>
    </row>
    <row r="57" spans="2:17" ht="14.25" hidden="1" outlineLevel="1" x14ac:dyDescent="0.2">
      <c r="B57" s="295"/>
      <c r="C57" s="343" t="s">
        <v>252</v>
      </c>
      <c r="D57" s="344">
        <v>5170.3444900000004</v>
      </c>
      <c r="E57" s="345">
        <v>-1283.0444499999999</v>
      </c>
      <c r="F57" s="346">
        <f>D57-E57</f>
        <v>6453.3889400000007</v>
      </c>
      <c r="G57" s="319"/>
      <c r="H57" s="347">
        <v>0</v>
      </c>
      <c r="I57" s="248"/>
      <c r="J57" s="347">
        <v>0</v>
      </c>
      <c r="K57" s="248"/>
      <c r="L57" s="263">
        <f>D57+H57+J57</f>
        <v>5170.3444900000004</v>
      </c>
      <c r="M57" s="348">
        <f>E57</f>
        <v>-1283.0444499999999</v>
      </c>
      <c r="N57" s="262">
        <f>L57-M57</f>
        <v>6453.3889400000007</v>
      </c>
      <c r="O57" s="253"/>
      <c r="P57" s="237"/>
      <c r="Q57" s="249"/>
    </row>
    <row r="58" spans="2:17" s="266" customFormat="1" ht="15" collapsed="1" x14ac:dyDescent="0.25">
      <c r="B58" s="260"/>
      <c r="C58" s="261" t="s">
        <v>255</v>
      </c>
      <c r="D58" s="263">
        <f>D57</f>
        <v>5170.3444900000004</v>
      </c>
      <c r="E58" s="348">
        <f>E57</f>
        <v>-1283.0444499999999</v>
      </c>
      <c r="F58" s="262">
        <f>D58-E58</f>
        <v>6453.3889400000007</v>
      </c>
      <c r="G58" s="349"/>
      <c r="H58" s="348">
        <f>-H56*0.1512-13030</f>
        <v>-9865.2459589360005</v>
      </c>
      <c r="I58" s="349"/>
      <c r="J58" s="262">
        <f>J57</f>
        <v>0</v>
      </c>
      <c r="K58" s="350"/>
      <c r="L58" s="263">
        <f>D58+H58+J58</f>
        <v>-4694.9014689360001</v>
      </c>
      <c r="M58" s="348">
        <f>E58</f>
        <v>-1283.0444499999999</v>
      </c>
      <c r="N58" s="262">
        <f>L58-M58</f>
        <v>-3411.8570189360003</v>
      </c>
      <c r="O58" s="264"/>
      <c r="P58" s="260"/>
      <c r="Q58" s="265"/>
    </row>
    <row r="59" spans="2:17" s="266" customFormat="1" ht="15" x14ac:dyDescent="0.25">
      <c r="B59" s="260"/>
      <c r="C59" s="275"/>
      <c r="D59" s="277"/>
      <c r="E59" s="278"/>
      <c r="F59" s="276"/>
      <c r="G59" s="355"/>
      <c r="H59" s="278"/>
      <c r="I59" s="355"/>
      <c r="J59" s="276"/>
      <c r="K59" s="350"/>
      <c r="L59" s="277"/>
      <c r="M59" s="278"/>
      <c r="N59" s="276"/>
      <c r="O59" s="264"/>
      <c r="P59" s="260"/>
      <c r="Q59" s="265"/>
    </row>
    <row r="60" spans="2:17" s="321" customFormat="1" ht="15" x14ac:dyDescent="0.25">
      <c r="B60" s="354"/>
      <c r="C60" s="275" t="s">
        <v>223</v>
      </c>
      <c r="D60" s="277">
        <f>D54+D56+D58</f>
        <v>605199.40728000016</v>
      </c>
      <c r="E60" s="278">
        <f>E54+E56+E58</f>
        <v>205308.72932999989</v>
      </c>
      <c r="F60" s="276">
        <f>D60-E60</f>
        <v>399890.67795000027</v>
      </c>
      <c r="G60" s="355"/>
      <c r="H60" s="278">
        <f>H54+H56+H58</f>
        <v>16823.435249999966</v>
      </c>
      <c r="I60" s="355"/>
      <c r="J60" s="276">
        <f>J54+J56+J58</f>
        <v>-7685.9073799999987</v>
      </c>
      <c r="K60" s="356"/>
      <c r="L60" s="277">
        <f>D60+H60+J60</f>
        <v>614336.93515000015</v>
      </c>
      <c r="M60" s="278">
        <f>E60</f>
        <v>205308.72932999989</v>
      </c>
      <c r="N60" s="276">
        <f>L60-M60</f>
        <v>409028.20582000026</v>
      </c>
      <c r="O60" s="334"/>
      <c r="P60" s="354"/>
      <c r="Q60" s="265"/>
    </row>
    <row r="61" spans="2:17" x14ac:dyDescent="0.2">
      <c r="B61" s="237"/>
      <c r="D61" s="385"/>
      <c r="E61" s="386"/>
      <c r="F61" s="387"/>
      <c r="G61" s="388"/>
      <c r="H61" s="288"/>
      <c r="I61" s="389"/>
      <c r="J61" s="289"/>
      <c r="K61" s="259"/>
      <c r="L61" s="290"/>
      <c r="M61" s="291"/>
      <c r="N61" s="292"/>
      <c r="O61" s="252"/>
      <c r="P61" s="237"/>
      <c r="Q61" s="249"/>
    </row>
    <row r="62" spans="2:17" hidden="1" outlineLevel="1" x14ac:dyDescent="0.2">
      <c r="B62" s="237"/>
      <c r="D62" s="390"/>
      <c r="E62" s="390"/>
      <c r="F62" s="390"/>
      <c r="G62" s="357"/>
      <c r="H62" s="259"/>
      <c r="I62" s="259"/>
      <c r="J62" s="259"/>
      <c r="K62" s="248"/>
      <c r="L62" s="252"/>
      <c r="M62" s="252"/>
      <c r="N62" s="252"/>
      <c r="O62" s="252"/>
      <c r="P62" s="237"/>
      <c r="Q62" s="249"/>
    </row>
    <row r="63" spans="2:17" hidden="1" outlineLevel="1" x14ac:dyDescent="0.2">
      <c r="B63" s="237"/>
      <c r="D63" s="390"/>
      <c r="E63" s="390"/>
      <c r="F63" s="390"/>
      <c r="G63" s="357"/>
      <c r="H63" s="259"/>
      <c r="I63" s="259"/>
      <c r="J63" s="259"/>
      <c r="K63" s="248"/>
      <c r="L63" s="252"/>
      <c r="M63" s="252"/>
      <c r="N63" s="252"/>
      <c r="O63" s="252"/>
      <c r="P63" s="237"/>
      <c r="Q63" s="249"/>
    </row>
    <row r="64" spans="2:17" hidden="1" outlineLevel="1" x14ac:dyDescent="0.2">
      <c r="B64" s="237"/>
      <c r="D64" s="390"/>
      <c r="E64" s="390"/>
      <c r="F64" s="390"/>
      <c r="G64" s="357"/>
      <c r="H64" s="259"/>
      <c r="I64" s="259"/>
      <c r="J64" s="259"/>
      <c r="K64" s="248"/>
      <c r="L64" s="252"/>
      <c r="M64" s="252"/>
      <c r="N64" s="252"/>
      <c r="O64" s="252"/>
      <c r="P64" s="237"/>
      <c r="Q64" s="249"/>
    </row>
    <row r="65" spans="2:17" hidden="1" outlineLevel="1" x14ac:dyDescent="0.2">
      <c r="B65" s="237"/>
      <c r="D65" s="390"/>
      <c r="E65" s="390"/>
      <c r="F65" s="390"/>
      <c r="G65" s="357"/>
      <c r="H65" s="259"/>
      <c r="I65" s="259"/>
      <c r="J65" s="259"/>
      <c r="K65" s="248"/>
      <c r="L65" s="252"/>
      <c r="M65" s="252"/>
      <c r="N65" s="252"/>
      <c r="O65" s="252"/>
      <c r="P65" s="237"/>
      <c r="Q65" s="249"/>
    </row>
    <row r="66" spans="2:17" hidden="1" outlineLevel="1" x14ac:dyDescent="0.2">
      <c r="B66" s="237"/>
      <c r="C66" s="357" t="s">
        <v>80</v>
      </c>
      <c r="D66" s="259">
        <v>102682.6</v>
      </c>
      <c r="E66" s="259">
        <v>411735.9</v>
      </c>
      <c r="F66" s="259">
        <f>D66-E66</f>
        <v>-309053.30000000005</v>
      </c>
      <c r="G66" s="357"/>
      <c r="H66" s="259">
        <v>2084961.3</v>
      </c>
      <c r="I66" s="259"/>
      <c r="J66" s="259">
        <f>H66-I66</f>
        <v>2084961.3</v>
      </c>
      <c r="K66" s="248"/>
      <c r="L66" s="259">
        <f>D66+H66</f>
        <v>2187643.9</v>
      </c>
      <c r="M66" s="259">
        <f>E66+I66</f>
        <v>411735.9</v>
      </c>
      <c r="N66" s="259">
        <f>F66+J66</f>
        <v>1775908</v>
      </c>
      <c r="O66" s="252"/>
      <c r="P66" s="237"/>
      <c r="Q66" s="249"/>
    </row>
    <row r="67" spans="2:17" hidden="1" outlineLevel="1" x14ac:dyDescent="0.2">
      <c r="B67" s="237"/>
      <c r="D67" s="390"/>
      <c r="E67" s="390"/>
      <c r="F67" s="390"/>
      <c r="G67" s="357"/>
      <c r="H67" s="259"/>
      <c r="I67" s="259"/>
      <c r="J67" s="259"/>
      <c r="K67" s="248"/>
      <c r="L67" s="252"/>
      <c r="M67" s="252"/>
      <c r="N67" s="252"/>
      <c r="O67" s="252"/>
      <c r="P67" s="237"/>
      <c r="Q67" s="249"/>
    </row>
    <row r="68" spans="2:17" hidden="1" outlineLevel="1" x14ac:dyDescent="0.2">
      <c r="B68" s="237"/>
      <c r="C68" s="357" t="s">
        <v>256</v>
      </c>
      <c r="D68" s="390"/>
      <c r="E68" s="390"/>
      <c r="F68" s="390"/>
      <c r="G68" s="357"/>
      <c r="H68" s="259"/>
      <c r="I68" s="259"/>
      <c r="J68" s="259"/>
      <c r="K68" s="248"/>
      <c r="L68" s="252"/>
      <c r="M68" s="252"/>
      <c r="N68" s="252"/>
      <c r="O68" s="252"/>
      <c r="P68" s="237"/>
      <c r="Q68" s="249"/>
    </row>
    <row r="69" spans="2:17" hidden="1" outlineLevel="1" x14ac:dyDescent="0.2">
      <c r="B69" s="237"/>
      <c r="C69" s="252" t="s">
        <v>257</v>
      </c>
      <c r="D69" s="371">
        <f>D25/D20</f>
        <v>0.53555507866192675</v>
      </c>
      <c r="E69" s="371">
        <f>E25/E20</f>
        <v>0.44901853430055855</v>
      </c>
      <c r="F69" s="391">
        <f>D69-E69</f>
        <v>8.6536544361368206E-2</v>
      </c>
      <c r="G69" s="357"/>
      <c r="H69" s="371">
        <f>H25/H20</f>
        <v>0.47499411652858564</v>
      </c>
      <c r="I69" s="371"/>
      <c r="J69" s="391">
        <f>H69-I69</f>
        <v>0.47499411652858564</v>
      </c>
      <c r="K69" s="248"/>
      <c r="L69" s="371">
        <f>L25/L20</f>
        <v>0.52374598042492881</v>
      </c>
      <c r="M69" s="371">
        <f>M25/M20</f>
        <v>0.44901853430055855</v>
      </c>
      <c r="N69" s="392">
        <f>L69-M69</f>
        <v>7.4727446124370267E-2</v>
      </c>
      <c r="O69" s="252"/>
      <c r="P69" s="237"/>
      <c r="Q69" s="249"/>
    </row>
    <row r="70" spans="2:17" hidden="1" outlineLevel="1" x14ac:dyDescent="0.2">
      <c r="B70" s="237"/>
      <c r="C70" s="252" t="s">
        <v>258</v>
      </c>
      <c r="D70" s="371">
        <f>D44/D20</f>
        <v>0.38364790751489525</v>
      </c>
      <c r="E70" s="371">
        <f>E44/E20</f>
        <v>0.22538427932915406</v>
      </c>
      <c r="F70" s="391">
        <f>D70-E70</f>
        <v>0.15826362818574119</v>
      </c>
      <c r="G70" s="357"/>
      <c r="H70" s="371">
        <f>H44/H20</f>
        <v>0.13940306206937539</v>
      </c>
      <c r="I70" s="371"/>
      <c r="J70" s="391">
        <f>H70-I70</f>
        <v>0.13940306206937539</v>
      </c>
      <c r="K70" s="248"/>
      <c r="L70" s="371">
        <f>L44/L20</f>
        <v>0.3321278367849817</v>
      </c>
      <c r="M70" s="371">
        <f>M44/M20</f>
        <v>0.22538427932915406</v>
      </c>
      <c r="N70" s="392">
        <f>L70-M70</f>
        <v>0.10674355745582764</v>
      </c>
      <c r="O70" s="252"/>
      <c r="P70" s="237"/>
      <c r="Q70" s="249"/>
    </row>
    <row r="71" spans="2:17" hidden="1" outlineLevel="1" x14ac:dyDescent="0.2">
      <c r="B71" s="237"/>
      <c r="C71" s="252" t="s">
        <v>25</v>
      </c>
      <c r="D71" s="390"/>
      <c r="E71" s="390"/>
      <c r="F71" s="259"/>
      <c r="G71" s="357"/>
      <c r="H71" s="259"/>
      <c r="I71" s="259"/>
      <c r="J71" s="259"/>
      <c r="K71" s="248"/>
      <c r="L71" s="259">
        <f>L66/(L44-L40)</f>
        <v>2.1045549198367111</v>
      </c>
      <c r="M71" s="259">
        <f>M66/(M44-M40)</f>
        <v>1.1915056750926343</v>
      </c>
      <c r="N71" s="269">
        <f>-L71+M71</f>
        <v>-0.91304924474407678</v>
      </c>
      <c r="O71" s="252"/>
      <c r="P71" s="237"/>
      <c r="Q71" s="249"/>
    </row>
    <row r="72" spans="2:17" hidden="1" outlineLevel="1" x14ac:dyDescent="0.2">
      <c r="B72" s="237"/>
      <c r="C72" s="252" t="s">
        <v>224</v>
      </c>
      <c r="D72" s="390"/>
      <c r="E72" s="390"/>
      <c r="F72" s="259"/>
      <c r="G72" s="357"/>
      <c r="H72" s="259"/>
      <c r="I72" s="259"/>
      <c r="J72" s="259"/>
      <c r="K72" s="248"/>
      <c r="L72" s="259">
        <f>(L44-L40)/-L47</f>
        <v>12.882889438335134</v>
      </c>
      <c r="M72" s="259">
        <f>(M44-M40)/-M47</f>
        <v>13.410743639604329</v>
      </c>
      <c r="N72" s="269">
        <f>L72-M72</f>
        <v>-0.52785420126919469</v>
      </c>
      <c r="O72" s="252"/>
      <c r="P72" s="237"/>
      <c r="Q72" s="249"/>
    </row>
    <row r="73" spans="2:17" hidden="1" outlineLevel="1" x14ac:dyDescent="0.2">
      <c r="B73" s="237"/>
      <c r="C73" s="252"/>
      <c r="D73" s="390"/>
      <c r="E73" s="390"/>
      <c r="F73" s="259"/>
      <c r="G73" s="357"/>
      <c r="H73" s="259"/>
      <c r="I73" s="259"/>
      <c r="J73" s="259"/>
      <c r="K73" s="248"/>
      <c r="L73" s="259"/>
      <c r="M73" s="259"/>
      <c r="N73" s="269"/>
      <c r="O73" s="252"/>
      <c r="P73" s="237"/>
      <c r="Q73" s="249"/>
    </row>
    <row r="74" spans="2:17" hidden="1" outlineLevel="1" x14ac:dyDescent="0.2">
      <c r="B74" s="237"/>
      <c r="C74" s="393" t="s">
        <v>259</v>
      </c>
      <c r="D74" s="390"/>
      <c r="G74" s="357"/>
      <c r="H74" s="259"/>
      <c r="I74" s="259"/>
      <c r="J74" s="259"/>
      <c r="K74" s="248"/>
      <c r="L74" s="259"/>
      <c r="M74" s="259"/>
      <c r="N74" s="269"/>
      <c r="O74" s="252"/>
      <c r="P74" s="237"/>
      <c r="Q74" s="249"/>
    </row>
    <row r="75" spans="2:17" ht="14.25" hidden="1" outlineLevel="1" x14ac:dyDescent="0.2">
      <c r="B75" s="237"/>
      <c r="C75" s="238" t="s">
        <v>260</v>
      </c>
      <c r="D75" s="390"/>
      <c r="F75" s="348">
        <f>($D$20*1000/$D$16-E20*1000/E16)*$D$16/1000</f>
        <v>1139946.1984503753</v>
      </c>
      <c r="G75" s="357"/>
      <c r="H75" s="259"/>
      <c r="I75" s="259"/>
      <c r="J75" s="259"/>
      <c r="K75" s="248"/>
      <c r="L75" s="259"/>
      <c r="M75" s="259"/>
      <c r="N75" s="269"/>
      <c r="O75" s="252"/>
      <c r="P75" s="237"/>
      <c r="Q75" s="249"/>
    </row>
    <row r="76" spans="2:17" ht="14.25" hidden="1" outlineLevel="1" x14ac:dyDescent="0.2">
      <c r="B76" s="237"/>
      <c r="C76" s="238" t="s">
        <v>261</v>
      </c>
      <c r="D76" s="390"/>
      <c r="F76" s="348">
        <f>F16*E20/E16</f>
        <v>-165666.01027037523</v>
      </c>
      <c r="G76" s="357"/>
      <c r="H76" s="259"/>
      <c r="I76" s="259"/>
      <c r="J76" s="259"/>
      <c r="K76" s="248"/>
      <c r="L76" s="259"/>
      <c r="M76" s="259"/>
      <c r="N76" s="269"/>
      <c r="O76" s="252"/>
      <c r="P76" s="237"/>
      <c r="Q76" s="249"/>
    </row>
    <row r="77" spans="2:17" hidden="1" outlineLevel="1" x14ac:dyDescent="0.2">
      <c r="B77" s="237"/>
      <c r="C77" s="252"/>
      <c r="D77" s="390"/>
      <c r="E77" s="390"/>
      <c r="F77" s="259"/>
      <c r="G77" s="357"/>
      <c r="H77" s="259"/>
      <c r="I77" s="259"/>
      <c r="J77" s="259"/>
      <c r="K77" s="248"/>
      <c r="L77" s="259"/>
      <c r="M77" s="259"/>
      <c r="N77" s="269"/>
      <c r="O77" s="252"/>
      <c r="P77" s="237"/>
      <c r="Q77" s="249"/>
    </row>
    <row r="78" spans="2:17" hidden="1" outlineLevel="1" x14ac:dyDescent="0.2">
      <c r="B78" s="237"/>
      <c r="C78" s="393" t="s">
        <v>262</v>
      </c>
      <c r="D78" s="390"/>
      <c r="G78" s="357"/>
      <c r="H78" s="259"/>
      <c r="I78" s="259"/>
      <c r="J78" s="259"/>
      <c r="K78" s="248"/>
      <c r="L78" s="259"/>
      <c r="M78" s="259"/>
      <c r="N78" s="269"/>
      <c r="O78" s="252"/>
      <c r="P78" s="237"/>
      <c r="Q78" s="249"/>
    </row>
    <row r="79" spans="2:17" ht="14.25" hidden="1" outlineLevel="1" x14ac:dyDescent="0.2">
      <c r="B79" s="237"/>
      <c r="C79" s="238" t="s">
        <v>260</v>
      </c>
      <c r="D79" s="390"/>
      <c r="F79" s="348">
        <f>F27*$D16/1000</f>
        <v>715001.19167502539</v>
      </c>
      <c r="G79" s="357"/>
      <c r="H79" s="259"/>
      <c r="I79" s="259"/>
      <c r="J79" s="259"/>
      <c r="K79" s="248"/>
      <c r="L79" s="259"/>
      <c r="M79" s="259"/>
      <c r="N79" s="269"/>
      <c r="O79" s="252"/>
      <c r="P79" s="237"/>
      <c r="Q79" s="249"/>
    </row>
    <row r="80" spans="2:17" ht="14.25" hidden="1" outlineLevel="1" x14ac:dyDescent="0.2">
      <c r="B80" s="237"/>
      <c r="C80" s="238" t="s">
        <v>261</v>
      </c>
      <c r="D80" s="390"/>
      <c r="F80" s="348">
        <f>F16*E27/1000</f>
        <v>-74387.109115025145</v>
      </c>
      <c r="G80" s="357"/>
      <c r="H80" s="259"/>
      <c r="I80" s="259"/>
      <c r="J80" s="259"/>
      <c r="K80" s="248"/>
      <c r="L80" s="259"/>
      <c r="M80" s="259"/>
      <c r="N80" s="269"/>
      <c r="O80" s="252"/>
      <c r="P80" s="237"/>
      <c r="Q80" s="249"/>
    </row>
    <row r="81" spans="2:17" collapsed="1" x14ac:dyDescent="0.2">
      <c r="B81" s="237"/>
      <c r="P81" s="237"/>
      <c r="Q81" s="394"/>
    </row>
    <row r="82" spans="2:17" ht="7.5" customHeight="1" x14ac:dyDescent="0.2"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</row>
    <row r="83" spans="2:17" x14ac:dyDescent="0.2">
      <c r="C83" s="395" t="s">
        <v>263</v>
      </c>
    </row>
    <row r="84" spans="2:17" x14ac:dyDescent="0.2">
      <c r="C84" s="395" t="s">
        <v>264</v>
      </c>
    </row>
    <row r="87" spans="2:17" x14ac:dyDescent="0.2">
      <c r="C87" s="396" t="s">
        <v>265</v>
      </c>
    </row>
    <row r="88" spans="2:17" x14ac:dyDescent="0.2">
      <c r="C88" s="397" t="s">
        <v>266</v>
      </c>
    </row>
    <row r="89" spans="2:17" x14ac:dyDescent="0.2">
      <c r="C89" s="398" t="s">
        <v>267</v>
      </c>
    </row>
    <row r="90" spans="2:17" x14ac:dyDescent="0.2">
      <c r="C90" s="399" t="s">
        <v>268</v>
      </c>
    </row>
    <row r="91" spans="2:17" x14ac:dyDescent="0.2">
      <c r="C91" s="400" t="s">
        <v>269</v>
      </c>
    </row>
  </sheetData>
  <pageMargins left="0.7" right="0.7" top="0.75" bottom="0.75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X77"/>
  <sheetViews>
    <sheetView topLeftCell="D31" workbookViewId="0"/>
  </sheetViews>
  <sheetFormatPr defaultRowHeight="12.75" outlineLevelCol="1" x14ac:dyDescent="0.2"/>
  <cols>
    <col min="1" max="2" width="1.7109375" style="435" hidden="1" customWidth="1" outlineLevel="1"/>
    <col min="3" max="3" width="1.7109375" style="40" hidden="1" customWidth="1" outlineLevel="1"/>
    <col min="4" max="4" width="6.42578125" style="404" customWidth="1" collapsed="1"/>
    <col min="5" max="5" width="25" style="404" customWidth="1"/>
    <col min="6" max="10" width="9.28515625" style="404" customWidth="1"/>
    <col min="11" max="11" width="1.7109375" style="404" customWidth="1"/>
    <col min="12" max="16" width="10.42578125" style="404" customWidth="1"/>
    <col min="17" max="17" width="1.7109375" style="405" customWidth="1"/>
    <col min="18" max="20" width="10" style="404" customWidth="1"/>
    <col min="21" max="21" width="1.7109375" style="404" customWidth="1"/>
    <col min="22" max="24" width="10" style="404" customWidth="1"/>
    <col min="25" max="256" width="9.28515625" style="404"/>
    <col min="257" max="259" width="0" style="404" hidden="1" customWidth="1"/>
    <col min="260" max="260" width="6.42578125" style="404" customWidth="1"/>
    <col min="261" max="261" width="25" style="404" customWidth="1"/>
    <col min="262" max="266" width="9.28515625" style="404" customWidth="1"/>
    <col min="267" max="267" width="1.7109375" style="404" customWidth="1"/>
    <col min="268" max="272" width="10.42578125" style="404" customWidth="1"/>
    <col min="273" max="273" width="1.7109375" style="404" customWidth="1"/>
    <col min="274" max="276" width="10" style="404" customWidth="1"/>
    <col min="277" max="277" width="1.7109375" style="404" customWidth="1"/>
    <col min="278" max="280" width="10" style="404" customWidth="1"/>
    <col min="281" max="512" width="9.28515625" style="404"/>
    <col min="513" max="515" width="0" style="404" hidden="1" customWidth="1"/>
    <col min="516" max="516" width="6.42578125" style="404" customWidth="1"/>
    <col min="517" max="517" width="25" style="404" customWidth="1"/>
    <col min="518" max="522" width="9.28515625" style="404" customWidth="1"/>
    <col min="523" max="523" width="1.7109375" style="404" customWidth="1"/>
    <col min="524" max="528" width="10.42578125" style="404" customWidth="1"/>
    <col min="529" max="529" width="1.7109375" style="404" customWidth="1"/>
    <col min="530" max="532" width="10" style="404" customWidth="1"/>
    <col min="533" max="533" width="1.7109375" style="404" customWidth="1"/>
    <col min="534" max="536" width="10" style="404" customWidth="1"/>
    <col min="537" max="768" width="9.28515625" style="404"/>
    <col min="769" max="771" width="0" style="404" hidden="1" customWidth="1"/>
    <col min="772" max="772" width="6.42578125" style="404" customWidth="1"/>
    <col min="773" max="773" width="25" style="404" customWidth="1"/>
    <col min="774" max="778" width="9.28515625" style="404" customWidth="1"/>
    <col min="779" max="779" width="1.7109375" style="404" customWidth="1"/>
    <col min="780" max="784" width="10.42578125" style="404" customWidth="1"/>
    <col min="785" max="785" width="1.7109375" style="404" customWidth="1"/>
    <col min="786" max="788" width="10" style="404" customWidth="1"/>
    <col min="789" max="789" width="1.7109375" style="404" customWidth="1"/>
    <col min="790" max="792" width="10" style="404" customWidth="1"/>
    <col min="793" max="1024" width="9.28515625" style="404"/>
    <col min="1025" max="1027" width="0" style="404" hidden="1" customWidth="1"/>
    <col min="1028" max="1028" width="6.42578125" style="404" customWidth="1"/>
    <col min="1029" max="1029" width="25" style="404" customWidth="1"/>
    <col min="1030" max="1034" width="9.28515625" style="404" customWidth="1"/>
    <col min="1035" max="1035" width="1.7109375" style="404" customWidth="1"/>
    <col min="1036" max="1040" width="10.42578125" style="404" customWidth="1"/>
    <col min="1041" max="1041" width="1.7109375" style="404" customWidth="1"/>
    <col min="1042" max="1044" width="10" style="404" customWidth="1"/>
    <col min="1045" max="1045" width="1.7109375" style="404" customWidth="1"/>
    <col min="1046" max="1048" width="10" style="404" customWidth="1"/>
    <col min="1049" max="1280" width="9.28515625" style="404"/>
    <col min="1281" max="1283" width="0" style="404" hidden="1" customWidth="1"/>
    <col min="1284" max="1284" width="6.42578125" style="404" customWidth="1"/>
    <col min="1285" max="1285" width="25" style="404" customWidth="1"/>
    <col min="1286" max="1290" width="9.28515625" style="404" customWidth="1"/>
    <col min="1291" max="1291" width="1.7109375" style="404" customWidth="1"/>
    <col min="1292" max="1296" width="10.42578125" style="404" customWidth="1"/>
    <col min="1297" max="1297" width="1.7109375" style="404" customWidth="1"/>
    <col min="1298" max="1300" width="10" style="404" customWidth="1"/>
    <col min="1301" max="1301" width="1.7109375" style="404" customWidth="1"/>
    <col min="1302" max="1304" width="10" style="404" customWidth="1"/>
    <col min="1305" max="1536" width="9.28515625" style="404"/>
    <col min="1537" max="1539" width="0" style="404" hidden="1" customWidth="1"/>
    <col min="1540" max="1540" width="6.42578125" style="404" customWidth="1"/>
    <col min="1541" max="1541" width="25" style="404" customWidth="1"/>
    <col min="1542" max="1546" width="9.28515625" style="404" customWidth="1"/>
    <col min="1547" max="1547" width="1.7109375" style="404" customWidth="1"/>
    <col min="1548" max="1552" width="10.42578125" style="404" customWidth="1"/>
    <col min="1553" max="1553" width="1.7109375" style="404" customWidth="1"/>
    <col min="1554" max="1556" width="10" style="404" customWidth="1"/>
    <col min="1557" max="1557" width="1.7109375" style="404" customWidth="1"/>
    <col min="1558" max="1560" width="10" style="404" customWidth="1"/>
    <col min="1561" max="1792" width="9.28515625" style="404"/>
    <col min="1793" max="1795" width="0" style="404" hidden="1" customWidth="1"/>
    <col min="1796" max="1796" width="6.42578125" style="404" customWidth="1"/>
    <col min="1797" max="1797" width="25" style="404" customWidth="1"/>
    <col min="1798" max="1802" width="9.28515625" style="404" customWidth="1"/>
    <col min="1803" max="1803" width="1.7109375" style="404" customWidth="1"/>
    <col min="1804" max="1808" width="10.42578125" style="404" customWidth="1"/>
    <col min="1809" max="1809" width="1.7109375" style="404" customWidth="1"/>
    <col min="1810" max="1812" width="10" style="404" customWidth="1"/>
    <col min="1813" max="1813" width="1.7109375" style="404" customWidth="1"/>
    <col min="1814" max="1816" width="10" style="404" customWidth="1"/>
    <col min="1817" max="2048" width="9.28515625" style="404"/>
    <col min="2049" max="2051" width="0" style="404" hidden="1" customWidth="1"/>
    <col min="2052" max="2052" width="6.42578125" style="404" customWidth="1"/>
    <col min="2053" max="2053" width="25" style="404" customWidth="1"/>
    <col min="2054" max="2058" width="9.28515625" style="404" customWidth="1"/>
    <col min="2059" max="2059" width="1.7109375" style="404" customWidth="1"/>
    <col min="2060" max="2064" width="10.42578125" style="404" customWidth="1"/>
    <col min="2065" max="2065" width="1.7109375" style="404" customWidth="1"/>
    <col min="2066" max="2068" width="10" style="404" customWidth="1"/>
    <col min="2069" max="2069" width="1.7109375" style="404" customWidth="1"/>
    <col min="2070" max="2072" width="10" style="404" customWidth="1"/>
    <col min="2073" max="2304" width="9.28515625" style="404"/>
    <col min="2305" max="2307" width="0" style="404" hidden="1" customWidth="1"/>
    <col min="2308" max="2308" width="6.42578125" style="404" customWidth="1"/>
    <col min="2309" max="2309" width="25" style="404" customWidth="1"/>
    <col min="2310" max="2314" width="9.28515625" style="404" customWidth="1"/>
    <col min="2315" max="2315" width="1.7109375" style="404" customWidth="1"/>
    <col min="2316" max="2320" width="10.42578125" style="404" customWidth="1"/>
    <col min="2321" max="2321" width="1.7109375" style="404" customWidth="1"/>
    <col min="2322" max="2324" width="10" style="404" customWidth="1"/>
    <col min="2325" max="2325" width="1.7109375" style="404" customWidth="1"/>
    <col min="2326" max="2328" width="10" style="404" customWidth="1"/>
    <col min="2329" max="2560" width="9.28515625" style="404"/>
    <col min="2561" max="2563" width="0" style="404" hidden="1" customWidth="1"/>
    <col min="2564" max="2564" width="6.42578125" style="404" customWidth="1"/>
    <col min="2565" max="2565" width="25" style="404" customWidth="1"/>
    <col min="2566" max="2570" width="9.28515625" style="404" customWidth="1"/>
    <col min="2571" max="2571" width="1.7109375" style="404" customWidth="1"/>
    <col min="2572" max="2576" width="10.42578125" style="404" customWidth="1"/>
    <col min="2577" max="2577" width="1.7109375" style="404" customWidth="1"/>
    <col min="2578" max="2580" width="10" style="404" customWidth="1"/>
    <col min="2581" max="2581" width="1.7109375" style="404" customWidth="1"/>
    <col min="2582" max="2584" width="10" style="404" customWidth="1"/>
    <col min="2585" max="2816" width="9.28515625" style="404"/>
    <col min="2817" max="2819" width="0" style="404" hidden="1" customWidth="1"/>
    <col min="2820" max="2820" width="6.42578125" style="404" customWidth="1"/>
    <col min="2821" max="2821" width="25" style="404" customWidth="1"/>
    <col min="2822" max="2826" width="9.28515625" style="404" customWidth="1"/>
    <col min="2827" max="2827" width="1.7109375" style="404" customWidth="1"/>
    <col min="2828" max="2832" width="10.42578125" style="404" customWidth="1"/>
    <col min="2833" max="2833" width="1.7109375" style="404" customWidth="1"/>
    <col min="2834" max="2836" width="10" style="404" customWidth="1"/>
    <col min="2837" max="2837" width="1.7109375" style="404" customWidth="1"/>
    <col min="2838" max="2840" width="10" style="404" customWidth="1"/>
    <col min="2841" max="3072" width="9.28515625" style="404"/>
    <col min="3073" max="3075" width="0" style="404" hidden="1" customWidth="1"/>
    <col min="3076" max="3076" width="6.42578125" style="404" customWidth="1"/>
    <col min="3077" max="3077" width="25" style="404" customWidth="1"/>
    <col min="3078" max="3082" width="9.28515625" style="404" customWidth="1"/>
    <col min="3083" max="3083" width="1.7109375" style="404" customWidth="1"/>
    <col min="3084" max="3088" width="10.42578125" style="404" customWidth="1"/>
    <col min="3089" max="3089" width="1.7109375" style="404" customWidth="1"/>
    <col min="3090" max="3092" width="10" style="404" customWidth="1"/>
    <col min="3093" max="3093" width="1.7109375" style="404" customWidth="1"/>
    <col min="3094" max="3096" width="10" style="404" customWidth="1"/>
    <col min="3097" max="3328" width="9.28515625" style="404"/>
    <col min="3329" max="3331" width="0" style="404" hidden="1" customWidth="1"/>
    <col min="3332" max="3332" width="6.42578125" style="404" customWidth="1"/>
    <col min="3333" max="3333" width="25" style="404" customWidth="1"/>
    <col min="3334" max="3338" width="9.28515625" style="404" customWidth="1"/>
    <col min="3339" max="3339" width="1.7109375" style="404" customWidth="1"/>
    <col min="3340" max="3344" width="10.42578125" style="404" customWidth="1"/>
    <col min="3345" max="3345" width="1.7109375" style="404" customWidth="1"/>
    <col min="3346" max="3348" width="10" style="404" customWidth="1"/>
    <col min="3349" max="3349" width="1.7109375" style="404" customWidth="1"/>
    <col min="3350" max="3352" width="10" style="404" customWidth="1"/>
    <col min="3353" max="3584" width="9.28515625" style="404"/>
    <col min="3585" max="3587" width="0" style="404" hidden="1" customWidth="1"/>
    <col min="3588" max="3588" width="6.42578125" style="404" customWidth="1"/>
    <col min="3589" max="3589" width="25" style="404" customWidth="1"/>
    <col min="3590" max="3594" width="9.28515625" style="404" customWidth="1"/>
    <col min="3595" max="3595" width="1.7109375" style="404" customWidth="1"/>
    <col min="3596" max="3600" width="10.42578125" style="404" customWidth="1"/>
    <col min="3601" max="3601" width="1.7109375" style="404" customWidth="1"/>
    <col min="3602" max="3604" width="10" style="404" customWidth="1"/>
    <col min="3605" max="3605" width="1.7109375" style="404" customWidth="1"/>
    <col min="3606" max="3608" width="10" style="404" customWidth="1"/>
    <col min="3609" max="3840" width="9.28515625" style="404"/>
    <col min="3841" max="3843" width="0" style="404" hidden="1" customWidth="1"/>
    <col min="3844" max="3844" width="6.42578125" style="404" customWidth="1"/>
    <col min="3845" max="3845" width="25" style="404" customWidth="1"/>
    <col min="3846" max="3850" width="9.28515625" style="404" customWidth="1"/>
    <col min="3851" max="3851" width="1.7109375" style="404" customWidth="1"/>
    <col min="3852" max="3856" width="10.42578125" style="404" customWidth="1"/>
    <col min="3857" max="3857" width="1.7109375" style="404" customWidth="1"/>
    <col min="3858" max="3860" width="10" style="404" customWidth="1"/>
    <col min="3861" max="3861" width="1.7109375" style="404" customWidth="1"/>
    <col min="3862" max="3864" width="10" style="404" customWidth="1"/>
    <col min="3865" max="4096" width="9.28515625" style="404"/>
    <col min="4097" max="4099" width="0" style="404" hidden="1" customWidth="1"/>
    <col min="4100" max="4100" width="6.42578125" style="404" customWidth="1"/>
    <col min="4101" max="4101" width="25" style="404" customWidth="1"/>
    <col min="4102" max="4106" width="9.28515625" style="404" customWidth="1"/>
    <col min="4107" max="4107" width="1.7109375" style="404" customWidth="1"/>
    <col min="4108" max="4112" width="10.42578125" style="404" customWidth="1"/>
    <col min="4113" max="4113" width="1.7109375" style="404" customWidth="1"/>
    <col min="4114" max="4116" width="10" style="404" customWidth="1"/>
    <col min="4117" max="4117" width="1.7109375" style="404" customWidth="1"/>
    <col min="4118" max="4120" width="10" style="404" customWidth="1"/>
    <col min="4121" max="4352" width="9.28515625" style="404"/>
    <col min="4353" max="4355" width="0" style="404" hidden="1" customWidth="1"/>
    <col min="4356" max="4356" width="6.42578125" style="404" customWidth="1"/>
    <col min="4357" max="4357" width="25" style="404" customWidth="1"/>
    <col min="4358" max="4362" width="9.28515625" style="404" customWidth="1"/>
    <col min="4363" max="4363" width="1.7109375" style="404" customWidth="1"/>
    <col min="4364" max="4368" width="10.42578125" style="404" customWidth="1"/>
    <col min="4369" max="4369" width="1.7109375" style="404" customWidth="1"/>
    <col min="4370" max="4372" width="10" style="404" customWidth="1"/>
    <col min="4373" max="4373" width="1.7109375" style="404" customWidth="1"/>
    <col min="4374" max="4376" width="10" style="404" customWidth="1"/>
    <col min="4377" max="4608" width="9.28515625" style="404"/>
    <col min="4609" max="4611" width="0" style="404" hidden="1" customWidth="1"/>
    <col min="4612" max="4612" width="6.42578125" style="404" customWidth="1"/>
    <col min="4613" max="4613" width="25" style="404" customWidth="1"/>
    <col min="4614" max="4618" width="9.28515625" style="404" customWidth="1"/>
    <col min="4619" max="4619" width="1.7109375" style="404" customWidth="1"/>
    <col min="4620" max="4624" width="10.42578125" style="404" customWidth="1"/>
    <col min="4625" max="4625" width="1.7109375" style="404" customWidth="1"/>
    <col min="4626" max="4628" width="10" style="404" customWidth="1"/>
    <col min="4629" max="4629" width="1.7109375" style="404" customWidth="1"/>
    <col min="4630" max="4632" width="10" style="404" customWidth="1"/>
    <col min="4633" max="4864" width="9.28515625" style="404"/>
    <col min="4865" max="4867" width="0" style="404" hidden="1" customWidth="1"/>
    <col min="4868" max="4868" width="6.42578125" style="404" customWidth="1"/>
    <col min="4869" max="4869" width="25" style="404" customWidth="1"/>
    <col min="4870" max="4874" width="9.28515625" style="404" customWidth="1"/>
    <col min="4875" max="4875" width="1.7109375" style="404" customWidth="1"/>
    <col min="4876" max="4880" width="10.42578125" style="404" customWidth="1"/>
    <col min="4881" max="4881" width="1.7109375" style="404" customWidth="1"/>
    <col min="4882" max="4884" width="10" style="404" customWidth="1"/>
    <col min="4885" max="4885" width="1.7109375" style="404" customWidth="1"/>
    <col min="4886" max="4888" width="10" style="404" customWidth="1"/>
    <col min="4889" max="5120" width="9.28515625" style="404"/>
    <col min="5121" max="5123" width="0" style="404" hidden="1" customWidth="1"/>
    <col min="5124" max="5124" width="6.42578125" style="404" customWidth="1"/>
    <col min="5125" max="5125" width="25" style="404" customWidth="1"/>
    <col min="5126" max="5130" width="9.28515625" style="404" customWidth="1"/>
    <col min="5131" max="5131" width="1.7109375" style="404" customWidth="1"/>
    <col min="5132" max="5136" width="10.42578125" style="404" customWidth="1"/>
    <col min="5137" max="5137" width="1.7109375" style="404" customWidth="1"/>
    <col min="5138" max="5140" width="10" style="404" customWidth="1"/>
    <col min="5141" max="5141" width="1.7109375" style="404" customWidth="1"/>
    <col min="5142" max="5144" width="10" style="404" customWidth="1"/>
    <col min="5145" max="5376" width="9.28515625" style="404"/>
    <col min="5377" max="5379" width="0" style="404" hidden="1" customWidth="1"/>
    <col min="5380" max="5380" width="6.42578125" style="404" customWidth="1"/>
    <col min="5381" max="5381" width="25" style="404" customWidth="1"/>
    <col min="5382" max="5386" width="9.28515625" style="404" customWidth="1"/>
    <col min="5387" max="5387" width="1.7109375" style="404" customWidth="1"/>
    <col min="5388" max="5392" width="10.42578125" style="404" customWidth="1"/>
    <col min="5393" max="5393" width="1.7109375" style="404" customWidth="1"/>
    <col min="5394" max="5396" width="10" style="404" customWidth="1"/>
    <col min="5397" max="5397" width="1.7109375" style="404" customWidth="1"/>
    <col min="5398" max="5400" width="10" style="404" customWidth="1"/>
    <col min="5401" max="5632" width="9.28515625" style="404"/>
    <col min="5633" max="5635" width="0" style="404" hidden="1" customWidth="1"/>
    <col min="5636" max="5636" width="6.42578125" style="404" customWidth="1"/>
    <col min="5637" max="5637" width="25" style="404" customWidth="1"/>
    <col min="5638" max="5642" width="9.28515625" style="404" customWidth="1"/>
    <col min="5643" max="5643" width="1.7109375" style="404" customWidth="1"/>
    <col min="5644" max="5648" width="10.42578125" style="404" customWidth="1"/>
    <col min="5649" max="5649" width="1.7109375" style="404" customWidth="1"/>
    <col min="5650" max="5652" width="10" style="404" customWidth="1"/>
    <col min="5653" max="5653" width="1.7109375" style="404" customWidth="1"/>
    <col min="5654" max="5656" width="10" style="404" customWidth="1"/>
    <col min="5657" max="5888" width="9.28515625" style="404"/>
    <col min="5889" max="5891" width="0" style="404" hidden="1" customWidth="1"/>
    <col min="5892" max="5892" width="6.42578125" style="404" customWidth="1"/>
    <col min="5893" max="5893" width="25" style="404" customWidth="1"/>
    <col min="5894" max="5898" width="9.28515625" style="404" customWidth="1"/>
    <col min="5899" max="5899" width="1.7109375" style="404" customWidth="1"/>
    <col min="5900" max="5904" width="10.42578125" style="404" customWidth="1"/>
    <col min="5905" max="5905" width="1.7109375" style="404" customWidth="1"/>
    <col min="5906" max="5908" width="10" style="404" customWidth="1"/>
    <col min="5909" max="5909" width="1.7109375" style="404" customWidth="1"/>
    <col min="5910" max="5912" width="10" style="404" customWidth="1"/>
    <col min="5913" max="6144" width="9.28515625" style="404"/>
    <col min="6145" max="6147" width="0" style="404" hidden="1" customWidth="1"/>
    <col min="6148" max="6148" width="6.42578125" style="404" customWidth="1"/>
    <col min="6149" max="6149" width="25" style="404" customWidth="1"/>
    <col min="6150" max="6154" width="9.28515625" style="404" customWidth="1"/>
    <col min="6155" max="6155" width="1.7109375" style="404" customWidth="1"/>
    <col min="6156" max="6160" width="10.42578125" style="404" customWidth="1"/>
    <col min="6161" max="6161" width="1.7109375" style="404" customWidth="1"/>
    <col min="6162" max="6164" width="10" style="404" customWidth="1"/>
    <col min="6165" max="6165" width="1.7109375" style="404" customWidth="1"/>
    <col min="6166" max="6168" width="10" style="404" customWidth="1"/>
    <col min="6169" max="6400" width="9.28515625" style="404"/>
    <col min="6401" max="6403" width="0" style="404" hidden="1" customWidth="1"/>
    <col min="6404" max="6404" width="6.42578125" style="404" customWidth="1"/>
    <col min="6405" max="6405" width="25" style="404" customWidth="1"/>
    <col min="6406" max="6410" width="9.28515625" style="404" customWidth="1"/>
    <col min="6411" max="6411" width="1.7109375" style="404" customWidth="1"/>
    <col min="6412" max="6416" width="10.42578125" style="404" customWidth="1"/>
    <col min="6417" max="6417" width="1.7109375" style="404" customWidth="1"/>
    <col min="6418" max="6420" width="10" style="404" customWidth="1"/>
    <col min="6421" max="6421" width="1.7109375" style="404" customWidth="1"/>
    <col min="6422" max="6424" width="10" style="404" customWidth="1"/>
    <col min="6425" max="6656" width="9.28515625" style="404"/>
    <col min="6657" max="6659" width="0" style="404" hidden="1" customWidth="1"/>
    <col min="6660" max="6660" width="6.42578125" style="404" customWidth="1"/>
    <col min="6661" max="6661" width="25" style="404" customWidth="1"/>
    <col min="6662" max="6666" width="9.28515625" style="404" customWidth="1"/>
    <col min="6667" max="6667" width="1.7109375" style="404" customWidth="1"/>
    <col min="6668" max="6672" width="10.42578125" style="404" customWidth="1"/>
    <col min="6673" max="6673" width="1.7109375" style="404" customWidth="1"/>
    <col min="6674" max="6676" width="10" style="404" customWidth="1"/>
    <col min="6677" max="6677" width="1.7109375" style="404" customWidth="1"/>
    <col min="6678" max="6680" width="10" style="404" customWidth="1"/>
    <col min="6681" max="6912" width="9.28515625" style="404"/>
    <col min="6913" max="6915" width="0" style="404" hidden="1" customWidth="1"/>
    <col min="6916" max="6916" width="6.42578125" style="404" customWidth="1"/>
    <col min="6917" max="6917" width="25" style="404" customWidth="1"/>
    <col min="6918" max="6922" width="9.28515625" style="404" customWidth="1"/>
    <col min="6923" max="6923" width="1.7109375" style="404" customWidth="1"/>
    <col min="6924" max="6928" width="10.42578125" style="404" customWidth="1"/>
    <col min="6929" max="6929" width="1.7109375" style="404" customWidth="1"/>
    <col min="6930" max="6932" width="10" style="404" customWidth="1"/>
    <col min="6933" max="6933" width="1.7109375" style="404" customWidth="1"/>
    <col min="6934" max="6936" width="10" style="404" customWidth="1"/>
    <col min="6937" max="7168" width="9.28515625" style="404"/>
    <col min="7169" max="7171" width="0" style="404" hidden="1" customWidth="1"/>
    <col min="7172" max="7172" width="6.42578125" style="404" customWidth="1"/>
    <col min="7173" max="7173" width="25" style="404" customWidth="1"/>
    <col min="7174" max="7178" width="9.28515625" style="404" customWidth="1"/>
    <col min="7179" max="7179" width="1.7109375" style="404" customWidth="1"/>
    <col min="7180" max="7184" width="10.42578125" style="404" customWidth="1"/>
    <col min="7185" max="7185" width="1.7109375" style="404" customWidth="1"/>
    <col min="7186" max="7188" width="10" style="404" customWidth="1"/>
    <col min="7189" max="7189" width="1.7109375" style="404" customWidth="1"/>
    <col min="7190" max="7192" width="10" style="404" customWidth="1"/>
    <col min="7193" max="7424" width="9.28515625" style="404"/>
    <col min="7425" max="7427" width="0" style="404" hidden="1" customWidth="1"/>
    <col min="7428" max="7428" width="6.42578125" style="404" customWidth="1"/>
    <col min="7429" max="7429" width="25" style="404" customWidth="1"/>
    <col min="7430" max="7434" width="9.28515625" style="404" customWidth="1"/>
    <col min="7435" max="7435" width="1.7109375" style="404" customWidth="1"/>
    <col min="7436" max="7440" width="10.42578125" style="404" customWidth="1"/>
    <col min="7441" max="7441" width="1.7109375" style="404" customWidth="1"/>
    <col min="7442" max="7444" width="10" style="404" customWidth="1"/>
    <col min="7445" max="7445" width="1.7109375" style="404" customWidth="1"/>
    <col min="7446" max="7448" width="10" style="404" customWidth="1"/>
    <col min="7449" max="7680" width="9.28515625" style="404"/>
    <col min="7681" max="7683" width="0" style="404" hidden="1" customWidth="1"/>
    <col min="7684" max="7684" width="6.42578125" style="404" customWidth="1"/>
    <col min="7685" max="7685" width="25" style="404" customWidth="1"/>
    <col min="7686" max="7690" width="9.28515625" style="404" customWidth="1"/>
    <col min="7691" max="7691" width="1.7109375" style="404" customWidth="1"/>
    <col min="7692" max="7696" width="10.42578125" style="404" customWidth="1"/>
    <col min="7697" max="7697" width="1.7109375" style="404" customWidth="1"/>
    <col min="7698" max="7700" width="10" style="404" customWidth="1"/>
    <col min="7701" max="7701" width="1.7109375" style="404" customWidth="1"/>
    <col min="7702" max="7704" width="10" style="404" customWidth="1"/>
    <col min="7705" max="7936" width="9.28515625" style="404"/>
    <col min="7937" max="7939" width="0" style="404" hidden="1" customWidth="1"/>
    <col min="7940" max="7940" width="6.42578125" style="404" customWidth="1"/>
    <col min="7941" max="7941" width="25" style="404" customWidth="1"/>
    <col min="7942" max="7946" width="9.28515625" style="404" customWidth="1"/>
    <col min="7947" max="7947" width="1.7109375" style="404" customWidth="1"/>
    <col min="7948" max="7952" width="10.42578125" style="404" customWidth="1"/>
    <col min="7953" max="7953" width="1.7109375" style="404" customWidth="1"/>
    <col min="7954" max="7956" width="10" style="404" customWidth="1"/>
    <col min="7957" max="7957" width="1.7109375" style="404" customWidth="1"/>
    <col min="7958" max="7960" width="10" style="404" customWidth="1"/>
    <col min="7961" max="8192" width="9.28515625" style="404"/>
    <col min="8193" max="8195" width="0" style="404" hidden="1" customWidth="1"/>
    <col min="8196" max="8196" width="6.42578125" style="404" customWidth="1"/>
    <col min="8197" max="8197" width="25" style="404" customWidth="1"/>
    <col min="8198" max="8202" width="9.28515625" style="404" customWidth="1"/>
    <col min="8203" max="8203" width="1.7109375" style="404" customWidth="1"/>
    <col min="8204" max="8208" width="10.42578125" style="404" customWidth="1"/>
    <col min="8209" max="8209" width="1.7109375" style="404" customWidth="1"/>
    <col min="8210" max="8212" width="10" style="404" customWidth="1"/>
    <col min="8213" max="8213" width="1.7109375" style="404" customWidth="1"/>
    <col min="8214" max="8216" width="10" style="404" customWidth="1"/>
    <col min="8217" max="8448" width="9.28515625" style="404"/>
    <col min="8449" max="8451" width="0" style="404" hidden="1" customWidth="1"/>
    <col min="8452" max="8452" width="6.42578125" style="404" customWidth="1"/>
    <col min="8453" max="8453" width="25" style="404" customWidth="1"/>
    <col min="8454" max="8458" width="9.28515625" style="404" customWidth="1"/>
    <col min="8459" max="8459" width="1.7109375" style="404" customWidth="1"/>
    <col min="8460" max="8464" width="10.42578125" style="404" customWidth="1"/>
    <col min="8465" max="8465" width="1.7109375" style="404" customWidth="1"/>
    <col min="8466" max="8468" width="10" style="404" customWidth="1"/>
    <col min="8469" max="8469" width="1.7109375" style="404" customWidth="1"/>
    <col min="8470" max="8472" width="10" style="404" customWidth="1"/>
    <col min="8473" max="8704" width="9.28515625" style="404"/>
    <col min="8705" max="8707" width="0" style="404" hidden="1" customWidth="1"/>
    <col min="8708" max="8708" width="6.42578125" style="404" customWidth="1"/>
    <col min="8709" max="8709" width="25" style="404" customWidth="1"/>
    <col min="8710" max="8714" width="9.28515625" style="404" customWidth="1"/>
    <col min="8715" max="8715" width="1.7109375" style="404" customWidth="1"/>
    <col min="8716" max="8720" width="10.42578125" style="404" customWidth="1"/>
    <col min="8721" max="8721" width="1.7109375" style="404" customWidth="1"/>
    <col min="8722" max="8724" width="10" style="404" customWidth="1"/>
    <col min="8725" max="8725" width="1.7109375" style="404" customWidth="1"/>
    <col min="8726" max="8728" width="10" style="404" customWidth="1"/>
    <col min="8729" max="8960" width="9.28515625" style="404"/>
    <col min="8961" max="8963" width="0" style="404" hidden="1" customWidth="1"/>
    <col min="8964" max="8964" width="6.42578125" style="404" customWidth="1"/>
    <col min="8965" max="8965" width="25" style="404" customWidth="1"/>
    <col min="8966" max="8970" width="9.28515625" style="404" customWidth="1"/>
    <col min="8971" max="8971" width="1.7109375" style="404" customWidth="1"/>
    <col min="8972" max="8976" width="10.42578125" style="404" customWidth="1"/>
    <col min="8977" max="8977" width="1.7109375" style="404" customWidth="1"/>
    <col min="8978" max="8980" width="10" style="404" customWidth="1"/>
    <col min="8981" max="8981" width="1.7109375" style="404" customWidth="1"/>
    <col min="8982" max="8984" width="10" style="404" customWidth="1"/>
    <col min="8985" max="9216" width="9.28515625" style="404"/>
    <col min="9217" max="9219" width="0" style="404" hidden="1" customWidth="1"/>
    <col min="9220" max="9220" width="6.42578125" style="404" customWidth="1"/>
    <col min="9221" max="9221" width="25" style="404" customWidth="1"/>
    <col min="9222" max="9226" width="9.28515625" style="404" customWidth="1"/>
    <col min="9227" max="9227" width="1.7109375" style="404" customWidth="1"/>
    <col min="9228" max="9232" width="10.42578125" style="404" customWidth="1"/>
    <col min="9233" max="9233" width="1.7109375" style="404" customWidth="1"/>
    <col min="9234" max="9236" width="10" style="404" customWidth="1"/>
    <col min="9237" max="9237" width="1.7109375" style="404" customWidth="1"/>
    <col min="9238" max="9240" width="10" style="404" customWidth="1"/>
    <col min="9241" max="9472" width="9.28515625" style="404"/>
    <col min="9473" max="9475" width="0" style="404" hidden="1" customWidth="1"/>
    <col min="9476" max="9476" width="6.42578125" style="404" customWidth="1"/>
    <col min="9477" max="9477" width="25" style="404" customWidth="1"/>
    <col min="9478" max="9482" width="9.28515625" style="404" customWidth="1"/>
    <col min="9483" max="9483" width="1.7109375" style="404" customWidth="1"/>
    <col min="9484" max="9488" width="10.42578125" style="404" customWidth="1"/>
    <col min="9489" max="9489" width="1.7109375" style="404" customWidth="1"/>
    <col min="9490" max="9492" width="10" style="404" customWidth="1"/>
    <col min="9493" max="9493" width="1.7109375" style="404" customWidth="1"/>
    <col min="9494" max="9496" width="10" style="404" customWidth="1"/>
    <col min="9497" max="9728" width="9.28515625" style="404"/>
    <col min="9729" max="9731" width="0" style="404" hidden="1" customWidth="1"/>
    <col min="9732" max="9732" width="6.42578125" style="404" customWidth="1"/>
    <col min="9733" max="9733" width="25" style="404" customWidth="1"/>
    <col min="9734" max="9738" width="9.28515625" style="404" customWidth="1"/>
    <col min="9739" max="9739" width="1.7109375" style="404" customWidth="1"/>
    <col min="9740" max="9744" width="10.42578125" style="404" customWidth="1"/>
    <col min="9745" max="9745" width="1.7109375" style="404" customWidth="1"/>
    <col min="9746" max="9748" width="10" style="404" customWidth="1"/>
    <col min="9749" max="9749" width="1.7109375" style="404" customWidth="1"/>
    <col min="9750" max="9752" width="10" style="404" customWidth="1"/>
    <col min="9753" max="9984" width="9.28515625" style="404"/>
    <col min="9985" max="9987" width="0" style="404" hidden="1" customWidth="1"/>
    <col min="9988" max="9988" width="6.42578125" style="404" customWidth="1"/>
    <col min="9989" max="9989" width="25" style="404" customWidth="1"/>
    <col min="9990" max="9994" width="9.28515625" style="404" customWidth="1"/>
    <col min="9995" max="9995" width="1.7109375" style="404" customWidth="1"/>
    <col min="9996" max="10000" width="10.42578125" style="404" customWidth="1"/>
    <col min="10001" max="10001" width="1.7109375" style="404" customWidth="1"/>
    <col min="10002" max="10004" width="10" style="404" customWidth="1"/>
    <col min="10005" max="10005" width="1.7109375" style="404" customWidth="1"/>
    <col min="10006" max="10008" width="10" style="404" customWidth="1"/>
    <col min="10009" max="10240" width="9.28515625" style="404"/>
    <col min="10241" max="10243" width="0" style="404" hidden="1" customWidth="1"/>
    <col min="10244" max="10244" width="6.42578125" style="404" customWidth="1"/>
    <col min="10245" max="10245" width="25" style="404" customWidth="1"/>
    <col min="10246" max="10250" width="9.28515625" style="404" customWidth="1"/>
    <col min="10251" max="10251" width="1.7109375" style="404" customWidth="1"/>
    <col min="10252" max="10256" width="10.42578125" style="404" customWidth="1"/>
    <col min="10257" max="10257" width="1.7109375" style="404" customWidth="1"/>
    <col min="10258" max="10260" width="10" style="404" customWidth="1"/>
    <col min="10261" max="10261" width="1.7109375" style="404" customWidth="1"/>
    <col min="10262" max="10264" width="10" style="404" customWidth="1"/>
    <col min="10265" max="10496" width="9.28515625" style="404"/>
    <col min="10497" max="10499" width="0" style="404" hidden="1" customWidth="1"/>
    <col min="10500" max="10500" width="6.42578125" style="404" customWidth="1"/>
    <col min="10501" max="10501" width="25" style="404" customWidth="1"/>
    <col min="10502" max="10506" width="9.28515625" style="404" customWidth="1"/>
    <col min="10507" max="10507" width="1.7109375" style="404" customWidth="1"/>
    <col min="10508" max="10512" width="10.42578125" style="404" customWidth="1"/>
    <col min="10513" max="10513" width="1.7109375" style="404" customWidth="1"/>
    <col min="10514" max="10516" width="10" style="404" customWidth="1"/>
    <col min="10517" max="10517" width="1.7109375" style="404" customWidth="1"/>
    <col min="10518" max="10520" width="10" style="404" customWidth="1"/>
    <col min="10521" max="10752" width="9.28515625" style="404"/>
    <col min="10753" max="10755" width="0" style="404" hidden="1" customWidth="1"/>
    <col min="10756" max="10756" width="6.42578125" style="404" customWidth="1"/>
    <col min="10757" max="10757" width="25" style="404" customWidth="1"/>
    <col min="10758" max="10762" width="9.28515625" style="404" customWidth="1"/>
    <col min="10763" max="10763" width="1.7109375" style="404" customWidth="1"/>
    <col min="10764" max="10768" width="10.42578125" style="404" customWidth="1"/>
    <col min="10769" max="10769" width="1.7109375" style="404" customWidth="1"/>
    <col min="10770" max="10772" width="10" style="404" customWidth="1"/>
    <col min="10773" max="10773" width="1.7109375" style="404" customWidth="1"/>
    <col min="10774" max="10776" width="10" style="404" customWidth="1"/>
    <col min="10777" max="11008" width="9.28515625" style="404"/>
    <col min="11009" max="11011" width="0" style="404" hidden="1" customWidth="1"/>
    <col min="11012" max="11012" width="6.42578125" style="404" customWidth="1"/>
    <col min="11013" max="11013" width="25" style="404" customWidth="1"/>
    <col min="11014" max="11018" width="9.28515625" style="404" customWidth="1"/>
    <col min="11019" max="11019" width="1.7109375" style="404" customWidth="1"/>
    <col min="11020" max="11024" width="10.42578125" style="404" customWidth="1"/>
    <col min="11025" max="11025" width="1.7109375" style="404" customWidth="1"/>
    <col min="11026" max="11028" width="10" style="404" customWidth="1"/>
    <col min="11029" max="11029" width="1.7109375" style="404" customWidth="1"/>
    <col min="11030" max="11032" width="10" style="404" customWidth="1"/>
    <col min="11033" max="11264" width="9.28515625" style="404"/>
    <col min="11265" max="11267" width="0" style="404" hidden="1" customWidth="1"/>
    <col min="11268" max="11268" width="6.42578125" style="404" customWidth="1"/>
    <col min="11269" max="11269" width="25" style="404" customWidth="1"/>
    <col min="11270" max="11274" width="9.28515625" style="404" customWidth="1"/>
    <col min="11275" max="11275" width="1.7109375" style="404" customWidth="1"/>
    <col min="11276" max="11280" width="10.42578125" style="404" customWidth="1"/>
    <col min="11281" max="11281" width="1.7109375" style="404" customWidth="1"/>
    <col min="11282" max="11284" width="10" style="404" customWidth="1"/>
    <col min="11285" max="11285" width="1.7109375" style="404" customWidth="1"/>
    <col min="11286" max="11288" width="10" style="404" customWidth="1"/>
    <col min="11289" max="11520" width="9.28515625" style="404"/>
    <col min="11521" max="11523" width="0" style="404" hidden="1" customWidth="1"/>
    <col min="11524" max="11524" width="6.42578125" style="404" customWidth="1"/>
    <col min="11525" max="11525" width="25" style="404" customWidth="1"/>
    <col min="11526" max="11530" width="9.28515625" style="404" customWidth="1"/>
    <col min="11531" max="11531" width="1.7109375" style="404" customWidth="1"/>
    <col min="11532" max="11536" width="10.42578125" style="404" customWidth="1"/>
    <col min="11537" max="11537" width="1.7109375" style="404" customWidth="1"/>
    <col min="11538" max="11540" width="10" style="404" customWidth="1"/>
    <col min="11541" max="11541" width="1.7109375" style="404" customWidth="1"/>
    <col min="11542" max="11544" width="10" style="404" customWidth="1"/>
    <col min="11545" max="11776" width="9.28515625" style="404"/>
    <col min="11777" max="11779" width="0" style="404" hidden="1" customWidth="1"/>
    <col min="11780" max="11780" width="6.42578125" style="404" customWidth="1"/>
    <col min="11781" max="11781" width="25" style="404" customWidth="1"/>
    <col min="11782" max="11786" width="9.28515625" style="404" customWidth="1"/>
    <col min="11787" max="11787" width="1.7109375" style="404" customWidth="1"/>
    <col min="11788" max="11792" width="10.42578125" style="404" customWidth="1"/>
    <col min="11793" max="11793" width="1.7109375" style="404" customWidth="1"/>
    <col min="11794" max="11796" width="10" style="404" customWidth="1"/>
    <col min="11797" max="11797" width="1.7109375" style="404" customWidth="1"/>
    <col min="11798" max="11800" width="10" style="404" customWidth="1"/>
    <col min="11801" max="12032" width="9.28515625" style="404"/>
    <col min="12033" max="12035" width="0" style="404" hidden="1" customWidth="1"/>
    <col min="12036" max="12036" width="6.42578125" style="404" customWidth="1"/>
    <col min="12037" max="12037" width="25" style="404" customWidth="1"/>
    <col min="12038" max="12042" width="9.28515625" style="404" customWidth="1"/>
    <col min="12043" max="12043" width="1.7109375" style="404" customWidth="1"/>
    <col min="12044" max="12048" width="10.42578125" style="404" customWidth="1"/>
    <col min="12049" max="12049" width="1.7109375" style="404" customWidth="1"/>
    <col min="12050" max="12052" width="10" style="404" customWidth="1"/>
    <col min="12053" max="12053" width="1.7109375" style="404" customWidth="1"/>
    <col min="12054" max="12056" width="10" style="404" customWidth="1"/>
    <col min="12057" max="12288" width="9.28515625" style="404"/>
    <col min="12289" max="12291" width="0" style="404" hidden="1" customWidth="1"/>
    <col min="12292" max="12292" width="6.42578125" style="404" customWidth="1"/>
    <col min="12293" max="12293" width="25" style="404" customWidth="1"/>
    <col min="12294" max="12298" width="9.28515625" style="404" customWidth="1"/>
    <col min="12299" max="12299" width="1.7109375" style="404" customWidth="1"/>
    <col min="12300" max="12304" width="10.42578125" style="404" customWidth="1"/>
    <col min="12305" max="12305" width="1.7109375" style="404" customWidth="1"/>
    <col min="12306" max="12308" width="10" style="404" customWidth="1"/>
    <col min="12309" max="12309" width="1.7109375" style="404" customWidth="1"/>
    <col min="12310" max="12312" width="10" style="404" customWidth="1"/>
    <col min="12313" max="12544" width="9.28515625" style="404"/>
    <col min="12545" max="12547" width="0" style="404" hidden="1" customWidth="1"/>
    <col min="12548" max="12548" width="6.42578125" style="404" customWidth="1"/>
    <col min="12549" max="12549" width="25" style="404" customWidth="1"/>
    <col min="12550" max="12554" width="9.28515625" style="404" customWidth="1"/>
    <col min="12555" max="12555" width="1.7109375" style="404" customWidth="1"/>
    <col min="12556" max="12560" width="10.42578125" style="404" customWidth="1"/>
    <col min="12561" max="12561" width="1.7109375" style="404" customWidth="1"/>
    <col min="12562" max="12564" width="10" style="404" customWidth="1"/>
    <col min="12565" max="12565" width="1.7109375" style="404" customWidth="1"/>
    <col min="12566" max="12568" width="10" style="404" customWidth="1"/>
    <col min="12569" max="12800" width="9.28515625" style="404"/>
    <col min="12801" max="12803" width="0" style="404" hidden="1" customWidth="1"/>
    <col min="12804" max="12804" width="6.42578125" style="404" customWidth="1"/>
    <col min="12805" max="12805" width="25" style="404" customWidth="1"/>
    <col min="12806" max="12810" width="9.28515625" style="404" customWidth="1"/>
    <col min="12811" max="12811" width="1.7109375" style="404" customWidth="1"/>
    <col min="12812" max="12816" width="10.42578125" style="404" customWidth="1"/>
    <col min="12817" max="12817" width="1.7109375" style="404" customWidth="1"/>
    <col min="12818" max="12820" width="10" style="404" customWidth="1"/>
    <col min="12821" max="12821" width="1.7109375" style="404" customWidth="1"/>
    <col min="12822" max="12824" width="10" style="404" customWidth="1"/>
    <col min="12825" max="13056" width="9.28515625" style="404"/>
    <col min="13057" max="13059" width="0" style="404" hidden="1" customWidth="1"/>
    <col min="13060" max="13060" width="6.42578125" style="404" customWidth="1"/>
    <col min="13061" max="13061" width="25" style="404" customWidth="1"/>
    <col min="13062" max="13066" width="9.28515625" style="404" customWidth="1"/>
    <col min="13067" max="13067" width="1.7109375" style="404" customWidth="1"/>
    <col min="13068" max="13072" width="10.42578125" style="404" customWidth="1"/>
    <col min="13073" max="13073" width="1.7109375" style="404" customWidth="1"/>
    <col min="13074" max="13076" width="10" style="404" customWidth="1"/>
    <col min="13077" max="13077" width="1.7109375" style="404" customWidth="1"/>
    <col min="13078" max="13080" width="10" style="404" customWidth="1"/>
    <col min="13081" max="13312" width="9.28515625" style="404"/>
    <col min="13313" max="13315" width="0" style="404" hidden="1" customWidth="1"/>
    <col min="13316" max="13316" width="6.42578125" style="404" customWidth="1"/>
    <col min="13317" max="13317" width="25" style="404" customWidth="1"/>
    <col min="13318" max="13322" width="9.28515625" style="404" customWidth="1"/>
    <col min="13323" max="13323" width="1.7109375" style="404" customWidth="1"/>
    <col min="13324" max="13328" width="10.42578125" style="404" customWidth="1"/>
    <col min="13329" max="13329" width="1.7109375" style="404" customWidth="1"/>
    <col min="13330" max="13332" width="10" style="404" customWidth="1"/>
    <col min="13333" max="13333" width="1.7109375" style="404" customWidth="1"/>
    <col min="13334" max="13336" width="10" style="404" customWidth="1"/>
    <col min="13337" max="13568" width="9.28515625" style="404"/>
    <col min="13569" max="13571" width="0" style="404" hidden="1" customWidth="1"/>
    <col min="13572" max="13572" width="6.42578125" style="404" customWidth="1"/>
    <col min="13573" max="13573" width="25" style="404" customWidth="1"/>
    <col min="13574" max="13578" width="9.28515625" style="404" customWidth="1"/>
    <col min="13579" max="13579" width="1.7109375" style="404" customWidth="1"/>
    <col min="13580" max="13584" width="10.42578125" style="404" customWidth="1"/>
    <col min="13585" max="13585" width="1.7109375" style="404" customWidth="1"/>
    <col min="13586" max="13588" width="10" style="404" customWidth="1"/>
    <col min="13589" max="13589" width="1.7109375" style="404" customWidth="1"/>
    <col min="13590" max="13592" width="10" style="404" customWidth="1"/>
    <col min="13593" max="13824" width="9.28515625" style="404"/>
    <col min="13825" max="13827" width="0" style="404" hidden="1" customWidth="1"/>
    <col min="13828" max="13828" width="6.42578125" style="404" customWidth="1"/>
    <col min="13829" max="13829" width="25" style="404" customWidth="1"/>
    <col min="13830" max="13834" width="9.28515625" style="404" customWidth="1"/>
    <col min="13835" max="13835" width="1.7109375" style="404" customWidth="1"/>
    <col min="13836" max="13840" width="10.42578125" style="404" customWidth="1"/>
    <col min="13841" max="13841" width="1.7109375" style="404" customWidth="1"/>
    <col min="13842" max="13844" width="10" style="404" customWidth="1"/>
    <col min="13845" max="13845" width="1.7109375" style="404" customWidth="1"/>
    <col min="13846" max="13848" width="10" style="404" customWidth="1"/>
    <col min="13849" max="14080" width="9.28515625" style="404"/>
    <col min="14081" max="14083" width="0" style="404" hidden="1" customWidth="1"/>
    <col min="14084" max="14084" width="6.42578125" style="404" customWidth="1"/>
    <col min="14085" max="14085" width="25" style="404" customWidth="1"/>
    <col min="14086" max="14090" width="9.28515625" style="404" customWidth="1"/>
    <col min="14091" max="14091" width="1.7109375" style="404" customWidth="1"/>
    <col min="14092" max="14096" width="10.42578125" style="404" customWidth="1"/>
    <col min="14097" max="14097" width="1.7109375" style="404" customWidth="1"/>
    <col min="14098" max="14100" width="10" style="404" customWidth="1"/>
    <col min="14101" max="14101" width="1.7109375" style="404" customWidth="1"/>
    <col min="14102" max="14104" width="10" style="404" customWidth="1"/>
    <col min="14105" max="14336" width="9.28515625" style="404"/>
    <col min="14337" max="14339" width="0" style="404" hidden="1" customWidth="1"/>
    <col min="14340" max="14340" width="6.42578125" style="404" customWidth="1"/>
    <col min="14341" max="14341" width="25" style="404" customWidth="1"/>
    <col min="14342" max="14346" width="9.28515625" style="404" customWidth="1"/>
    <col min="14347" max="14347" width="1.7109375" style="404" customWidth="1"/>
    <col min="14348" max="14352" width="10.42578125" style="404" customWidth="1"/>
    <col min="14353" max="14353" width="1.7109375" style="404" customWidth="1"/>
    <col min="14354" max="14356" width="10" style="404" customWidth="1"/>
    <col min="14357" max="14357" width="1.7109375" style="404" customWidth="1"/>
    <col min="14358" max="14360" width="10" style="404" customWidth="1"/>
    <col min="14361" max="14592" width="9.28515625" style="404"/>
    <col min="14593" max="14595" width="0" style="404" hidden="1" customWidth="1"/>
    <col min="14596" max="14596" width="6.42578125" style="404" customWidth="1"/>
    <col min="14597" max="14597" width="25" style="404" customWidth="1"/>
    <col min="14598" max="14602" width="9.28515625" style="404" customWidth="1"/>
    <col min="14603" max="14603" width="1.7109375" style="404" customWidth="1"/>
    <col min="14604" max="14608" width="10.42578125" style="404" customWidth="1"/>
    <col min="14609" max="14609" width="1.7109375" style="404" customWidth="1"/>
    <col min="14610" max="14612" width="10" style="404" customWidth="1"/>
    <col min="14613" max="14613" width="1.7109375" style="404" customWidth="1"/>
    <col min="14614" max="14616" width="10" style="404" customWidth="1"/>
    <col min="14617" max="14848" width="9.28515625" style="404"/>
    <col min="14849" max="14851" width="0" style="404" hidden="1" customWidth="1"/>
    <col min="14852" max="14852" width="6.42578125" style="404" customWidth="1"/>
    <col min="14853" max="14853" width="25" style="404" customWidth="1"/>
    <col min="14854" max="14858" width="9.28515625" style="404" customWidth="1"/>
    <col min="14859" max="14859" width="1.7109375" style="404" customWidth="1"/>
    <col min="14860" max="14864" width="10.42578125" style="404" customWidth="1"/>
    <col min="14865" max="14865" width="1.7109375" style="404" customWidth="1"/>
    <col min="14866" max="14868" width="10" style="404" customWidth="1"/>
    <col min="14869" max="14869" width="1.7109375" style="404" customWidth="1"/>
    <col min="14870" max="14872" width="10" style="404" customWidth="1"/>
    <col min="14873" max="15104" width="9.28515625" style="404"/>
    <col min="15105" max="15107" width="0" style="404" hidden="1" customWidth="1"/>
    <col min="15108" max="15108" width="6.42578125" style="404" customWidth="1"/>
    <col min="15109" max="15109" width="25" style="404" customWidth="1"/>
    <col min="15110" max="15114" width="9.28515625" style="404" customWidth="1"/>
    <col min="15115" max="15115" width="1.7109375" style="404" customWidth="1"/>
    <col min="15116" max="15120" width="10.42578125" style="404" customWidth="1"/>
    <col min="15121" max="15121" width="1.7109375" style="404" customWidth="1"/>
    <col min="15122" max="15124" width="10" style="404" customWidth="1"/>
    <col min="15125" max="15125" width="1.7109375" style="404" customWidth="1"/>
    <col min="15126" max="15128" width="10" style="404" customWidth="1"/>
    <col min="15129" max="15360" width="9.28515625" style="404"/>
    <col min="15361" max="15363" width="0" style="404" hidden="1" customWidth="1"/>
    <col min="15364" max="15364" width="6.42578125" style="404" customWidth="1"/>
    <col min="15365" max="15365" width="25" style="404" customWidth="1"/>
    <col min="15366" max="15370" width="9.28515625" style="404" customWidth="1"/>
    <col min="15371" max="15371" width="1.7109375" style="404" customWidth="1"/>
    <col min="15372" max="15376" width="10.42578125" style="404" customWidth="1"/>
    <col min="15377" max="15377" width="1.7109375" style="404" customWidth="1"/>
    <col min="15378" max="15380" width="10" style="404" customWidth="1"/>
    <col min="15381" max="15381" width="1.7109375" style="404" customWidth="1"/>
    <col min="15382" max="15384" width="10" style="404" customWidth="1"/>
    <col min="15385" max="15616" width="9.28515625" style="404"/>
    <col min="15617" max="15619" width="0" style="404" hidden="1" customWidth="1"/>
    <col min="15620" max="15620" width="6.42578125" style="404" customWidth="1"/>
    <col min="15621" max="15621" width="25" style="404" customWidth="1"/>
    <col min="15622" max="15626" width="9.28515625" style="404" customWidth="1"/>
    <col min="15627" max="15627" width="1.7109375" style="404" customWidth="1"/>
    <col min="15628" max="15632" width="10.42578125" style="404" customWidth="1"/>
    <col min="15633" max="15633" width="1.7109375" style="404" customWidth="1"/>
    <col min="15634" max="15636" width="10" style="404" customWidth="1"/>
    <col min="15637" max="15637" width="1.7109375" style="404" customWidth="1"/>
    <col min="15638" max="15640" width="10" style="404" customWidth="1"/>
    <col min="15641" max="15872" width="9.28515625" style="404"/>
    <col min="15873" max="15875" width="0" style="404" hidden="1" customWidth="1"/>
    <col min="15876" max="15876" width="6.42578125" style="404" customWidth="1"/>
    <col min="15877" max="15877" width="25" style="404" customWidth="1"/>
    <col min="15878" max="15882" width="9.28515625" style="404" customWidth="1"/>
    <col min="15883" max="15883" width="1.7109375" style="404" customWidth="1"/>
    <col min="15884" max="15888" width="10.42578125" style="404" customWidth="1"/>
    <col min="15889" max="15889" width="1.7109375" style="404" customWidth="1"/>
    <col min="15890" max="15892" width="10" style="404" customWidth="1"/>
    <col min="15893" max="15893" width="1.7109375" style="404" customWidth="1"/>
    <col min="15894" max="15896" width="10" style="404" customWidth="1"/>
    <col min="15897" max="16128" width="9.28515625" style="404"/>
    <col min="16129" max="16131" width="0" style="404" hidden="1" customWidth="1"/>
    <col min="16132" max="16132" width="6.42578125" style="404" customWidth="1"/>
    <col min="16133" max="16133" width="25" style="404" customWidth="1"/>
    <col min="16134" max="16138" width="9.28515625" style="404" customWidth="1"/>
    <col min="16139" max="16139" width="1.7109375" style="404" customWidth="1"/>
    <col min="16140" max="16144" width="10.42578125" style="404" customWidth="1"/>
    <col min="16145" max="16145" width="1.7109375" style="404" customWidth="1"/>
    <col min="16146" max="16148" width="10" style="404" customWidth="1"/>
    <col min="16149" max="16149" width="1.7109375" style="404" customWidth="1"/>
    <col min="16150" max="16152" width="10" style="404" customWidth="1"/>
    <col min="16153" max="16384" width="9.28515625" style="404"/>
  </cols>
  <sheetData>
    <row r="1" spans="1:24" ht="20.100000000000001" customHeight="1" x14ac:dyDescent="0.25">
      <c r="A1" s="401" t="s">
        <v>270</v>
      </c>
      <c r="B1" s="401"/>
      <c r="C1" s="402"/>
      <c r="D1" s="403" t="s">
        <v>271</v>
      </c>
    </row>
    <row r="2" spans="1:24" ht="20.100000000000001" customHeight="1" x14ac:dyDescent="0.25">
      <c r="A2" s="401"/>
      <c r="B2" s="401"/>
      <c r="C2" s="402"/>
      <c r="D2" s="403" t="s">
        <v>303</v>
      </c>
    </row>
    <row r="3" spans="1:24" ht="20.100000000000001" customHeight="1" thickBot="1" x14ac:dyDescent="0.3">
      <c r="A3" s="401"/>
      <c r="B3" s="401"/>
      <c r="C3" s="402"/>
      <c r="D3" s="714">
        <v>39508</v>
      </c>
      <c r="E3" s="714"/>
    </row>
    <row r="4" spans="1:24" ht="21" thickBot="1" x14ac:dyDescent="0.35">
      <c r="A4" s="401"/>
      <c r="B4" s="401"/>
      <c r="C4" s="402"/>
      <c r="D4" s="406"/>
      <c r="E4" s="407"/>
      <c r="F4" s="715" t="s">
        <v>272</v>
      </c>
      <c r="G4" s="716"/>
      <c r="H4" s="716"/>
      <c r="I4" s="716"/>
      <c r="J4" s="717"/>
      <c r="L4" s="715" t="s">
        <v>273</v>
      </c>
      <c r="M4" s="716"/>
      <c r="N4" s="716"/>
      <c r="O4" s="716"/>
      <c r="P4" s="717"/>
      <c r="R4" s="715" t="s">
        <v>274</v>
      </c>
      <c r="S4" s="716"/>
      <c r="T4" s="717"/>
      <c r="V4" s="715" t="s">
        <v>275</v>
      </c>
      <c r="W4" s="716"/>
      <c r="X4" s="717"/>
    </row>
    <row r="5" spans="1:24" ht="30.75" thickBot="1" x14ac:dyDescent="0.3">
      <c r="A5" s="401"/>
      <c r="B5" s="401"/>
      <c r="C5" s="402"/>
      <c r="E5" s="408"/>
      <c r="F5" s="409" t="s">
        <v>162</v>
      </c>
      <c r="G5" s="409" t="s">
        <v>276</v>
      </c>
      <c r="H5" s="409" t="s">
        <v>232</v>
      </c>
      <c r="I5" s="409" t="s">
        <v>277</v>
      </c>
      <c r="J5" s="409" t="s">
        <v>278</v>
      </c>
      <c r="L5" s="409" t="s">
        <v>162</v>
      </c>
      <c r="M5" s="409" t="s">
        <v>276</v>
      </c>
      <c r="N5" s="409" t="s">
        <v>279</v>
      </c>
      <c r="O5" s="409" t="s">
        <v>277</v>
      </c>
      <c r="P5" s="409" t="s">
        <v>278</v>
      </c>
      <c r="R5" s="409" t="s">
        <v>280</v>
      </c>
      <c r="S5" s="409" t="s">
        <v>281</v>
      </c>
      <c r="T5" s="409" t="s">
        <v>132</v>
      </c>
      <c r="U5" s="410"/>
      <c r="V5" s="409" t="s">
        <v>280</v>
      </c>
      <c r="W5" s="409" t="s">
        <v>281</v>
      </c>
      <c r="X5" s="409" t="s">
        <v>132</v>
      </c>
    </row>
    <row r="6" spans="1:24" x14ac:dyDescent="0.2">
      <c r="A6" s="401"/>
      <c r="B6" s="401"/>
      <c r="C6" s="402"/>
      <c r="D6" s="411" t="s">
        <v>282</v>
      </c>
      <c r="E6" s="408"/>
    </row>
    <row r="7" spans="1:24" x14ac:dyDescent="0.2">
      <c r="A7" s="412">
        <v>1</v>
      </c>
      <c r="B7" s="413">
        <v>1</v>
      </c>
      <c r="C7" s="402" t="e">
        <v>#REF!</v>
      </c>
      <c r="D7" s="404" t="s">
        <v>283</v>
      </c>
      <c r="F7" s="414">
        <v>54.088999999999999</v>
      </c>
      <c r="G7" s="414">
        <v>48.965887520859262</v>
      </c>
      <c r="H7" s="414">
        <v>83.814999999999998</v>
      </c>
      <c r="I7" s="414">
        <v>5.1231124791407368</v>
      </c>
      <c r="J7" s="414">
        <v>-29.725999999999999</v>
      </c>
      <c r="L7" s="415">
        <v>15690.81789</v>
      </c>
      <c r="M7" s="415">
        <v>12593.777750149378</v>
      </c>
      <c r="N7" s="415">
        <v>21629.37198</v>
      </c>
      <c r="O7" s="415">
        <v>3097.0401398506219</v>
      </c>
      <c r="P7" s="415">
        <v>-5938.5540899999996</v>
      </c>
      <c r="Q7" s="405">
        <v>1</v>
      </c>
      <c r="R7" s="415">
        <v>1779.4016119299301</v>
      </c>
      <c r="S7" s="415">
        <v>1317.6385279206929</v>
      </c>
      <c r="T7" s="415">
        <v>3097.0401398506228</v>
      </c>
      <c r="V7" s="415">
        <v>1732.5633887028591</v>
      </c>
      <c r="W7" s="415">
        <v>-7671.1174787028567</v>
      </c>
      <c r="X7" s="415">
        <v>-5938.5540899999978</v>
      </c>
    </row>
    <row r="8" spans="1:24" x14ac:dyDescent="0.2">
      <c r="A8" s="412">
        <v>2</v>
      </c>
      <c r="B8" s="413">
        <v>1</v>
      </c>
      <c r="C8" s="402" t="e">
        <v>#REF!</v>
      </c>
      <c r="D8" s="404" t="s">
        <v>284</v>
      </c>
      <c r="F8" s="414">
        <v>75.237320999999994</v>
      </c>
      <c r="G8" s="414">
        <v>74.996112479140734</v>
      </c>
      <c r="H8" s="414">
        <v>66.106600000000029</v>
      </c>
      <c r="I8" s="414">
        <v>0.24120852085926003</v>
      </c>
      <c r="J8" s="414">
        <v>9.1307209999999657</v>
      </c>
      <c r="K8" s="416"/>
      <c r="L8" s="415">
        <v>9930.7401499999978</v>
      </c>
      <c r="M8" s="415">
        <v>8796.1602498506218</v>
      </c>
      <c r="N8" s="415">
        <v>6973.4207199999955</v>
      </c>
      <c r="O8" s="415">
        <v>1134.579900149376</v>
      </c>
      <c r="P8" s="415">
        <v>2957.3194300000023</v>
      </c>
      <c r="Q8" s="417">
        <v>2</v>
      </c>
      <c r="R8" s="415">
        <v>1106.2889830208692</v>
      </c>
      <c r="S8" s="415">
        <v>28.290917128506035</v>
      </c>
      <c r="T8" s="415">
        <v>1134.5799001493751</v>
      </c>
      <c r="U8" s="416"/>
      <c r="V8" s="415">
        <v>1994.1423945763252</v>
      </c>
      <c r="W8" s="415">
        <v>963.17703542367644</v>
      </c>
      <c r="X8" s="415">
        <v>2957.3194300000014</v>
      </c>
    </row>
    <row r="9" spans="1:24" x14ac:dyDescent="0.2">
      <c r="A9" s="412">
        <v>3</v>
      </c>
      <c r="B9" s="413">
        <v>1</v>
      </c>
      <c r="C9" s="402" t="e">
        <v>#REF!</v>
      </c>
      <c r="D9" s="404" t="s">
        <v>285</v>
      </c>
      <c r="F9" s="414">
        <v>19.361260000000001</v>
      </c>
      <c r="G9" s="414">
        <v>13.445</v>
      </c>
      <c r="H9" s="414">
        <v>15.0587</v>
      </c>
      <c r="I9" s="414">
        <v>5.9162600000000012</v>
      </c>
      <c r="J9" s="414">
        <v>4.3025600000000015</v>
      </c>
      <c r="K9" s="416"/>
      <c r="L9" s="415">
        <v>14496.23977</v>
      </c>
      <c r="M9" s="415">
        <v>8511.4500000000007</v>
      </c>
      <c r="N9" s="415">
        <v>7504.7284900000004</v>
      </c>
      <c r="O9" s="415">
        <v>5984.7897699999994</v>
      </c>
      <c r="P9" s="415">
        <v>6991.5112799999997</v>
      </c>
      <c r="Q9" s="417">
        <v>3</v>
      </c>
      <c r="R9" s="415">
        <v>2239.4605638266994</v>
      </c>
      <c r="S9" s="415">
        <v>3745.3292061733</v>
      </c>
      <c r="T9" s="415">
        <v>5984.7897699999994</v>
      </c>
      <c r="U9" s="416"/>
      <c r="V9" s="415">
        <v>4847.2661186026407</v>
      </c>
      <c r="W9" s="415">
        <v>2144.245161397359</v>
      </c>
      <c r="X9" s="415">
        <v>6991.5112799999997</v>
      </c>
    </row>
    <row r="10" spans="1:24" x14ac:dyDescent="0.2">
      <c r="A10" s="412">
        <v>4</v>
      </c>
      <c r="B10" s="413">
        <v>1</v>
      </c>
      <c r="C10" s="402" t="e">
        <v>#REF!</v>
      </c>
      <c r="D10" s="404" t="s">
        <v>286</v>
      </c>
      <c r="F10" s="414">
        <v>38.617327999999993</v>
      </c>
      <c r="G10" s="414">
        <v>46.762</v>
      </c>
      <c r="H10" s="414">
        <v>42.453084000000004</v>
      </c>
      <c r="I10" s="414">
        <v>-8.144672000000007</v>
      </c>
      <c r="J10" s="414">
        <v>-3.8357560000000106</v>
      </c>
      <c r="K10" s="416"/>
      <c r="L10" s="415">
        <v>6346.1528599999992</v>
      </c>
      <c r="M10" s="415">
        <v>5049.9480000000003</v>
      </c>
      <c r="N10" s="415">
        <v>4022.35374</v>
      </c>
      <c r="O10" s="415">
        <v>1296.2048599999989</v>
      </c>
      <c r="P10" s="415">
        <v>2323.7991199999992</v>
      </c>
      <c r="Q10" s="417">
        <v>4</v>
      </c>
      <c r="R10" s="415">
        <v>2175.7688238393566</v>
      </c>
      <c r="S10" s="415">
        <v>-879.5639638393576</v>
      </c>
      <c r="T10" s="415">
        <v>1296.2048599999989</v>
      </c>
      <c r="U10" s="416"/>
      <c r="V10" s="415">
        <v>2687.2301369863621</v>
      </c>
      <c r="W10" s="415">
        <v>-363.43101698636264</v>
      </c>
      <c r="X10" s="415">
        <v>2323.7991199999997</v>
      </c>
    </row>
    <row r="11" spans="1:24" x14ac:dyDescent="0.2">
      <c r="A11" s="412">
        <v>5</v>
      </c>
      <c r="B11" s="413">
        <v>1</v>
      </c>
      <c r="C11" s="402" t="e">
        <v>#REF!</v>
      </c>
      <c r="D11" s="404" t="s">
        <v>287</v>
      </c>
      <c r="F11" s="414">
        <v>230.23500000000001</v>
      </c>
      <c r="G11" s="414">
        <v>158.97433633482828</v>
      </c>
      <c r="H11" s="414">
        <v>121.69499999999999</v>
      </c>
      <c r="I11" s="414">
        <v>71.260663665171734</v>
      </c>
      <c r="J11" s="414">
        <v>108.54</v>
      </c>
      <c r="K11" s="416"/>
      <c r="L11" s="415">
        <v>29202.416000000001</v>
      </c>
      <c r="M11" s="415">
        <v>15101.13316911722</v>
      </c>
      <c r="N11" s="415">
        <v>9807.2438499999989</v>
      </c>
      <c r="O11" s="415">
        <v>14101.282830882781</v>
      </c>
      <c r="P11" s="415">
        <v>19395.172150000002</v>
      </c>
      <c r="Q11" s="417">
        <v>5</v>
      </c>
      <c r="R11" s="415">
        <v>7332.1602382843294</v>
      </c>
      <c r="S11" s="415">
        <v>6769.1225925984527</v>
      </c>
      <c r="T11" s="415">
        <v>14101.282830882781</v>
      </c>
      <c r="U11" s="416"/>
      <c r="V11" s="415">
        <v>10648.072865074571</v>
      </c>
      <c r="W11" s="415">
        <v>8747.0992849254308</v>
      </c>
      <c r="X11" s="415">
        <v>19395.172150000002</v>
      </c>
    </row>
    <row r="12" spans="1:24" x14ac:dyDescent="0.2">
      <c r="A12" s="412">
        <v>6</v>
      </c>
      <c r="B12" s="413">
        <v>1</v>
      </c>
      <c r="C12" s="402" t="e">
        <v>#REF!</v>
      </c>
      <c r="D12" s="404" t="s">
        <v>288</v>
      </c>
      <c r="F12" s="414">
        <v>71.754203000000032</v>
      </c>
      <c r="G12" s="414">
        <v>21.536663665171712</v>
      </c>
      <c r="H12" s="414">
        <v>54.240301000000009</v>
      </c>
      <c r="I12" s="414">
        <v>50.217539334828317</v>
      </c>
      <c r="J12" s="414">
        <v>17.513902000000023</v>
      </c>
      <c r="K12" s="416"/>
      <c r="L12" s="415">
        <v>10699.962880000003</v>
      </c>
      <c r="M12" s="415">
        <v>1586.9338308827803</v>
      </c>
      <c r="N12" s="415">
        <v>4083.0840000000017</v>
      </c>
      <c r="O12" s="415">
        <v>9113.0290491172218</v>
      </c>
      <c r="P12" s="415">
        <v>6616.8788800000011</v>
      </c>
      <c r="Q12" s="417">
        <v>6</v>
      </c>
      <c r="R12" s="415">
        <v>5412.7385439076988</v>
      </c>
      <c r="S12" s="415">
        <v>3700.2905052095225</v>
      </c>
      <c r="T12" s="415">
        <v>9113.0290491172218</v>
      </c>
      <c r="U12" s="416"/>
      <c r="V12" s="415">
        <v>5298.4729767258259</v>
      </c>
      <c r="W12" s="415">
        <v>1318.4059032741743</v>
      </c>
      <c r="X12" s="415">
        <v>6616.8788800000002</v>
      </c>
    </row>
    <row r="13" spans="1:24" x14ac:dyDescent="0.2">
      <c r="A13" s="412">
        <v>7</v>
      </c>
      <c r="B13" s="413">
        <v>1</v>
      </c>
      <c r="C13" s="402" t="e">
        <v>#REF!</v>
      </c>
      <c r="D13" s="404" t="s">
        <v>289</v>
      </c>
      <c r="F13" s="414">
        <v>76.073850999999991</v>
      </c>
      <c r="G13" s="414">
        <v>42.746000000000002</v>
      </c>
      <c r="H13" s="414">
        <v>58.345908999999999</v>
      </c>
      <c r="I13" s="414">
        <v>33.327850999999988</v>
      </c>
      <c r="J13" s="414">
        <v>17.727941999999992</v>
      </c>
      <c r="K13" s="416"/>
      <c r="L13" s="415">
        <v>6725.1978899999986</v>
      </c>
      <c r="M13" s="415">
        <v>3364.1219999999998</v>
      </c>
      <c r="N13" s="415">
        <v>6281.8229700000002</v>
      </c>
      <c r="O13" s="415">
        <v>3361.0758899999987</v>
      </c>
      <c r="P13" s="415">
        <v>443.37491999999838</v>
      </c>
      <c r="Q13" s="417">
        <v>7</v>
      </c>
      <c r="R13" s="415">
        <v>738.16481617269415</v>
      </c>
      <c r="S13" s="415">
        <v>2622.9110738273043</v>
      </c>
      <c r="T13" s="415">
        <v>3361.0758899999983</v>
      </c>
      <c r="U13" s="416"/>
      <c r="V13" s="415">
        <v>-1465.3071997083036</v>
      </c>
      <c r="W13" s="415">
        <v>1908.682119708302</v>
      </c>
      <c r="X13" s="415">
        <v>443.37491999999838</v>
      </c>
    </row>
    <row r="14" spans="1:24" x14ac:dyDescent="0.2">
      <c r="A14" s="412">
        <v>8</v>
      </c>
      <c r="B14" s="413">
        <v>1</v>
      </c>
      <c r="C14" s="402" t="e">
        <v>#REF!</v>
      </c>
      <c r="D14" s="404" t="s">
        <v>290</v>
      </c>
      <c r="F14" s="414">
        <v>78.012801999999994</v>
      </c>
      <c r="G14" s="414">
        <v>54.841000000000001</v>
      </c>
      <c r="H14" s="414">
        <v>115.218288</v>
      </c>
      <c r="I14" s="414">
        <v>23.171801999999992</v>
      </c>
      <c r="J14" s="414">
        <v>-37.205486000000008</v>
      </c>
      <c r="K14" s="416"/>
      <c r="L14" s="415">
        <v>6498.5824599999996</v>
      </c>
      <c r="M14" s="415">
        <v>3927.0360000000001</v>
      </c>
      <c r="N14" s="415">
        <v>9725.6419900000001</v>
      </c>
      <c r="O14" s="415">
        <v>2571.5464599999996</v>
      </c>
      <c r="P14" s="415">
        <v>-3227.0595300000004</v>
      </c>
      <c r="Q14" s="417">
        <v>8</v>
      </c>
      <c r="R14" s="415">
        <v>912.2678064584527</v>
      </c>
      <c r="S14" s="415">
        <v>1659.2786535415469</v>
      </c>
      <c r="T14" s="415">
        <v>2571.5464599999996</v>
      </c>
      <c r="U14" s="416"/>
      <c r="V14" s="415">
        <v>-86.523047632225385</v>
      </c>
      <c r="W14" s="415">
        <v>-3140.5364823677751</v>
      </c>
      <c r="X14" s="415">
        <v>-3227.0595300000004</v>
      </c>
    </row>
    <row r="15" spans="1:24" x14ac:dyDescent="0.2">
      <c r="A15" s="412">
        <v>9</v>
      </c>
      <c r="B15" s="413">
        <v>1</v>
      </c>
      <c r="C15" s="402" t="e">
        <v>#REF!</v>
      </c>
      <c r="D15" s="404" t="s">
        <v>291</v>
      </c>
      <c r="F15" s="414">
        <v>27.755655000000001</v>
      </c>
      <c r="G15" s="414">
        <v>20.567</v>
      </c>
      <c r="H15" s="414">
        <v>23.567722999999997</v>
      </c>
      <c r="I15" s="414">
        <v>7.1886550000000007</v>
      </c>
      <c r="J15" s="414">
        <v>4.1879320000000035</v>
      </c>
      <c r="K15" s="416"/>
      <c r="L15" s="415">
        <v>8089.74719</v>
      </c>
      <c r="M15" s="415">
        <v>2430.1990000000001</v>
      </c>
      <c r="N15" s="415">
        <v>3569.7443800000005</v>
      </c>
      <c r="O15" s="415">
        <v>5659.5481899999995</v>
      </c>
      <c r="P15" s="415">
        <v>4520.00281</v>
      </c>
      <c r="Q15" s="417">
        <v>9</v>
      </c>
      <c r="R15" s="415">
        <v>4810.1359182858459</v>
      </c>
      <c r="S15" s="415">
        <v>849.41227171415392</v>
      </c>
      <c r="T15" s="415">
        <v>5659.5481899999995</v>
      </c>
      <c r="U15" s="416"/>
      <c r="V15" s="415">
        <v>3885.6671671030526</v>
      </c>
      <c r="W15" s="415">
        <v>634.33564289694755</v>
      </c>
      <c r="X15" s="415">
        <v>4520.00281</v>
      </c>
    </row>
    <row r="16" spans="1:24" x14ac:dyDescent="0.2">
      <c r="A16" s="412">
        <v>10</v>
      </c>
      <c r="B16" s="413">
        <v>1</v>
      </c>
      <c r="C16" s="402" t="e">
        <v>#REF!</v>
      </c>
      <c r="D16" s="404" t="s">
        <v>292</v>
      </c>
      <c r="F16" s="414">
        <v>188.98109299999999</v>
      </c>
      <c r="G16" s="414">
        <v>177.554</v>
      </c>
      <c r="H16" s="414">
        <v>187.18863299999995</v>
      </c>
      <c r="I16" s="414">
        <v>11.427092999999985</v>
      </c>
      <c r="J16" s="414">
        <v>1.7924600000000339</v>
      </c>
      <c r="K16" s="416"/>
      <c r="L16" s="415">
        <v>41647.833860000006</v>
      </c>
      <c r="M16" s="415">
        <v>26264.161</v>
      </c>
      <c r="N16" s="415">
        <v>31649.081430000002</v>
      </c>
      <c r="O16" s="415">
        <v>15383.672860000006</v>
      </c>
      <c r="P16" s="415">
        <v>9998.7524300000041</v>
      </c>
      <c r="Q16" s="417">
        <v>10</v>
      </c>
      <c r="R16" s="415">
        <v>13693.353237158657</v>
      </c>
      <c r="S16" s="415">
        <v>1690.3196228413474</v>
      </c>
      <c r="T16" s="415">
        <v>15383.672860000004</v>
      </c>
      <c r="U16" s="416"/>
      <c r="V16" s="415">
        <v>9695.6906917371944</v>
      </c>
      <c r="W16" s="415">
        <v>303.06173826280838</v>
      </c>
      <c r="X16" s="415">
        <v>9998.7524300000023</v>
      </c>
    </row>
    <row r="17" spans="1:24" x14ac:dyDescent="0.2">
      <c r="A17" s="412">
        <v>11</v>
      </c>
      <c r="B17" s="413">
        <v>1</v>
      </c>
      <c r="C17" s="402" t="e">
        <v>#REF!</v>
      </c>
      <c r="D17" s="404" t="s">
        <v>293</v>
      </c>
      <c r="F17" s="414">
        <v>87.300326999999697</v>
      </c>
      <c r="G17" s="414">
        <v>85.277000000000001</v>
      </c>
      <c r="H17" s="414">
        <v>187.61836100000011</v>
      </c>
      <c r="I17" s="414">
        <v>2.0233269999996679</v>
      </c>
      <c r="J17" s="414">
        <v>-100.31803400000041</v>
      </c>
      <c r="K17" s="416"/>
      <c r="L17" s="415">
        <v>15258.969469999964</v>
      </c>
      <c r="M17" s="415">
        <v>9754.478000000001</v>
      </c>
      <c r="N17" s="415">
        <v>17816.488659999985</v>
      </c>
      <c r="O17" s="415">
        <v>5504.4914699999626</v>
      </c>
      <c r="P17" s="415">
        <v>-2557.5191900000209</v>
      </c>
      <c r="Q17" s="417">
        <v>11</v>
      </c>
      <c r="R17" s="415">
        <v>-934.26808497973434</v>
      </c>
      <c r="S17" s="415">
        <v>6438.7595549797097</v>
      </c>
      <c r="T17" s="415">
        <v>5504.4914699999763</v>
      </c>
      <c r="U17" s="416"/>
      <c r="V17" s="415">
        <v>-2043.7895475861078</v>
      </c>
      <c r="W17" s="415">
        <v>-513.72964241389309</v>
      </c>
      <c r="X17" s="415">
        <v>-2557.5191899999991</v>
      </c>
    </row>
    <row r="18" spans="1:24" x14ac:dyDescent="0.2">
      <c r="A18" s="412">
        <v>12</v>
      </c>
      <c r="B18" s="413">
        <v>1</v>
      </c>
      <c r="C18" s="402" t="e">
        <v>#REF!</v>
      </c>
      <c r="D18" s="404" t="s">
        <v>294</v>
      </c>
      <c r="F18" s="414">
        <v>181.76476700000001</v>
      </c>
      <c r="G18" s="414">
        <v>122.64100000000001</v>
      </c>
      <c r="H18" s="414">
        <v>92.004390000000015</v>
      </c>
      <c r="I18" s="414">
        <v>59.123767000000001</v>
      </c>
      <c r="J18" s="414">
        <v>89.760376999999991</v>
      </c>
      <c r="K18" s="416"/>
      <c r="L18" s="415">
        <v>22855.273550000002</v>
      </c>
      <c r="M18" s="415">
        <v>12174.290999999999</v>
      </c>
      <c r="N18" s="415">
        <v>5513.9157000000005</v>
      </c>
      <c r="O18" s="415">
        <v>10680.982550000002</v>
      </c>
      <c r="P18" s="415">
        <v>17341.35785</v>
      </c>
      <c r="Q18" s="417">
        <v>12</v>
      </c>
      <c r="R18" s="415">
        <v>4811.901700413021</v>
      </c>
      <c r="S18" s="415">
        <v>5869.0808495869805</v>
      </c>
      <c r="T18" s="415">
        <v>10680.982550000001</v>
      </c>
      <c r="U18" s="416"/>
      <c r="V18" s="415">
        <v>11961.928107808148</v>
      </c>
      <c r="W18" s="415">
        <v>5379.4297421918545</v>
      </c>
      <c r="X18" s="415">
        <v>17341.35785</v>
      </c>
    </row>
    <row r="19" spans="1:24" x14ac:dyDescent="0.2">
      <c r="A19" s="412">
        <v>13</v>
      </c>
      <c r="B19" s="413">
        <v>1</v>
      </c>
      <c r="C19" s="402" t="e">
        <v>#REF!</v>
      </c>
      <c r="D19" s="404" t="s">
        <v>295</v>
      </c>
      <c r="F19" s="414"/>
      <c r="G19" s="414"/>
      <c r="H19" s="414"/>
      <c r="I19" s="414"/>
      <c r="J19" s="414"/>
      <c r="K19" s="416"/>
      <c r="L19" s="415">
        <v>989.10145</v>
      </c>
      <c r="M19" s="415">
        <v>0</v>
      </c>
      <c r="N19" s="415">
        <v>550.10315000000014</v>
      </c>
      <c r="O19" s="415">
        <v>989.10145</v>
      </c>
      <c r="P19" s="415">
        <v>438.99829999999986</v>
      </c>
      <c r="Q19" s="417">
        <v>13</v>
      </c>
      <c r="R19" s="415">
        <v>989.10145</v>
      </c>
      <c r="S19" s="415">
        <v>0</v>
      </c>
      <c r="T19" s="415">
        <v>989.10145</v>
      </c>
      <c r="U19" s="416"/>
      <c r="V19" s="415">
        <v>438.99829999999986</v>
      </c>
      <c r="W19" s="415">
        <v>0</v>
      </c>
      <c r="X19" s="415">
        <v>438.99829999999986</v>
      </c>
    </row>
    <row r="20" spans="1:24" x14ac:dyDescent="0.2">
      <c r="A20" s="412">
        <v>14</v>
      </c>
      <c r="B20" s="413">
        <v>1</v>
      </c>
      <c r="C20" s="402" t="e">
        <v>#REF!</v>
      </c>
      <c r="D20" s="404" t="s">
        <v>296</v>
      </c>
      <c r="F20" s="414"/>
      <c r="G20" s="414"/>
      <c r="H20" s="414"/>
      <c r="I20" s="414"/>
      <c r="J20" s="414"/>
      <c r="K20" s="416"/>
      <c r="L20" s="415">
        <v>-898.17541999999435</v>
      </c>
      <c r="M20" s="415">
        <v>2982.966545454547</v>
      </c>
      <c r="N20" s="415">
        <v>-4918.7834399999738</v>
      </c>
      <c r="O20" s="415">
        <v>-3881.1419654545416</v>
      </c>
      <c r="P20" s="415">
        <v>4020.6080199999797</v>
      </c>
      <c r="Q20" s="417">
        <v>14</v>
      </c>
      <c r="R20" s="415">
        <v>-3881.1419654545416</v>
      </c>
      <c r="S20" s="415">
        <v>0</v>
      </c>
      <c r="T20" s="415">
        <v>-3881.1419654545416</v>
      </c>
      <c r="U20" s="416"/>
      <c r="V20" s="415">
        <v>4020.6080199999797</v>
      </c>
      <c r="W20" s="415">
        <v>0</v>
      </c>
      <c r="X20" s="415">
        <v>4020.6080199999797</v>
      </c>
    </row>
    <row r="21" spans="1:24" x14ac:dyDescent="0.2">
      <c r="A21" s="401"/>
      <c r="B21" s="401"/>
      <c r="C21" s="402"/>
      <c r="F21" s="414"/>
      <c r="G21" s="414"/>
      <c r="H21" s="414"/>
      <c r="I21" s="414"/>
      <c r="J21" s="414"/>
      <c r="K21" s="416"/>
      <c r="L21" s="415"/>
      <c r="M21" s="415"/>
      <c r="N21" s="415"/>
      <c r="O21" s="415"/>
      <c r="P21" s="415"/>
      <c r="Q21" s="417"/>
      <c r="R21" s="415"/>
      <c r="S21" s="415"/>
      <c r="T21" s="415"/>
      <c r="U21" s="416"/>
      <c r="V21" s="415"/>
      <c r="W21" s="415"/>
      <c r="X21" s="415"/>
    </row>
    <row r="22" spans="1:24" s="411" customFormat="1" ht="13.5" thickBot="1" x14ac:dyDescent="0.25">
      <c r="A22" s="418"/>
      <c r="B22" s="419"/>
      <c r="C22" s="420"/>
      <c r="D22" s="411" t="s">
        <v>297</v>
      </c>
      <c r="F22" s="421">
        <v>1129.1826069999997</v>
      </c>
      <c r="G22" s="421">
        <v>868.30600000000004</v>
      </c>
      <c r="H22" s="421">
        <v>1047.311989</v>
      </c>
      <c r="I22" s="421">
        <v>260.87660699999969</v>
      </c>
      <c r="J22" s="421">
        <v>81.870617999999695</v>
      </c>
      <c r="K22" s="422"/>
      <c r="L22" s="423">
        <v>187532.86</v>
      </c>
      <c r="M22" s="424">
        <v>112536.65654545455</v>
      </c>
      <c r="N22" s="424">
        <v>124208.21762000001</v>
      </c>
      <c r="O22" s="424">
        <v>74996.203454545437</v>
      </c>
      <c r="P22" s="424">
        <v>63324.642379999976</v>
      </c>
      <c r="Q22" s="425"/>
      <c r="R22" s="424">
        <v>41185.333642863283</v>
      </c>
      <c r="S22" s="424">
        <v>33810.869811682162</v>
      </c>
      <c r="T22" s="424">
        <v>74996.203454545437</v>
      </c>
      <c r="U22" s="422"/>
      <c r="V22" s="424">
        <v>53615.020372390318</v>
      </c>
      <c r="W22" s="424">
        <v>9709.6220076096652</v>
      </c>
      <c r="X22" s="424">
        <v>63324.642379999983</v>
      </c>
    </row>
    <row r="23" spans="1:24" s="411" customFormat="1" ht="13.5" thickTop="1" x14ac:dyDescent="0.2">
      <c r="A23" s="426"/>
      <c r="B23" s="426"/>
      <c r="C23" s="426"/>
      <c r="F23" s="427"/>
      <c r="G23" s="427"/>
      <c r="H23" s="427"/>
      <c r="I23" s="427"/>
      <c r="J23" s="427"/>
      <c r="K23" s="422"/>
      <c r="L23" s="428"/>
      <c r="M23" s="428"/>
      <c r="N23" s="428"/>
      <c r="O23" s="428"/>
      <c r="P23" s="428"/>
      <c r="Q23" s="425"/>
      <c r="R23" s="428"/>
      <c r="S23" s="428"/>
      <c r="T23" s="428"/>
      <c r="U23" s="422"/>
      <c r="V23" s="428"/>
      <c r="W23" s="428"/>
      <c r="X23" s="428"/>
    </row>
    <row r="24" spans="1:24" x14ac:dyDescent="0.2">
      <c r="A24" s="412"/>
      <c r="B24" s="413"/>
      <c r="C24" s="402"/>
      <c r="D24" s="411" t="s">
        <v>298</v>
      </c>
      <c r="F24" s="429"/>
      <c r="G24" s="414"/>
      <c r="H24" s="414"/>
      <c r="I24" s="414"/>
      <c r="J24" s="414"/>
      <c r="K24" s="416"/>
      <c r="L24" s="415"/>
      <c r="M24" s="430"/>
      <c r="N24" s="430"/>
      <c r="O24" s="415"/>
      <c r="P24" s="430"/>
      <c r="Q24" s="417"/>
      <c r="R24" s="431"/>
      <c r="S24" s="431"/>
      <c r="T24" s="415"/>
      <c r="U24" s="416"/>
      <c r="V24" s="431"/>
      <c r="W24" s="431"/>
      <c r="X24" s="415"/>
    </row>
    <row r="25" spans="1:24" x14ac:dyDescent="0.2">
      <c r="A25" s="412"/>
      <c r="B25" s="413"/>
      <c r="C25" s="402"/>
      <c r="D25" s="404" t="s">
        <v>289</v>
      </c>
      <c r="F25" s="414">
        <v>243.429</v>
      </c>
      <c r="G25" s="414">
        <v>297.23</v>
      </c>
      <c r="H25" s="414">
        <v>295.053</v>
      </c>
      <c r="I25" s="414">
        <v>-53.801000000000016</v>
      </c>
      <c r="J25" s="414">
        <v>-51.623999999999995</v>
      </c>
      <c r="K25" s="416"/>
      <c r="L25" s="432">
        <v>163289.948</v>
      </c>
      <c r="M25" s="415">
        <v>101783.79134175956</v>
      </c>
      <c r="N25" s="415">
        <v>77269.967999999993</v>
      </c>
      <c r="O25" s="415">
        <v>61506.156658240448</v>
      </c>
      <c r="P25" s="415">
        <v>86019.98</v>
      </c>
      <c r="Q25" s="417" t="s">
        <v>299</v>
      </c>
      <c r="R25" s="415">
        <v>79929.834476690827</v>
      </c>
      <c r="S25" s="415">
        <v>-18423.677818450382</v>
      </c>
      <c r="T25" s="415">
        <v>61506.156658240448</v>
      </c>
      <c r="U25" s="416"/>
      <c r="V25" s="415">
        <v>99539.533531168985</v>
      </c>
      <c r="W25" s="415">
        <v>-13519.553531168975</v>
      </c>
      <c r="X25" s="415">
        <v>86019.98</v>
      </c>
    </row>
    <row r="26" spans="1:24" x14ac:dyDescent="0.2">
      <c r="A26" s="412"/>
      <c r="B26" s="413"/>
      <c r="C26" s="402"/>
      <c r="D26" s="404" t="s">
        <v>290</v>
      </c>
      <c r="F26" s="414">
        <v>115.837</v>
      </c>
      <c r="G26" s="414">
        <v>171.26300000000001</v>
      </c>
      <c r="H26" s="414">
        <v>178.977</v>
      </c>
      <c r="I26" s="414">
        <v>-55.426000000000002</v>
      </c>
      <c r="J26" s="414">
        <v>-63.14</v>
      </c>
      <c r="K26" s="416"/>
      <c r="L26" s="432">
        <v>86525.203999999998</v>
      </c>
      <c r="M26" s="415">
        <v>49585.221948424485</v>
      </c>
      <c r="N26" s="415">
        <v>42328.661999999997</v>
      </c>
      <c r="O26" s="415">
        <v>36939.982051575513</v>
      </c>
      <c r="P26" s="415">
        <v>44196.542000000001</v>
      </c>
      <c r="Q26" s="417"/>
      <c r="R26" s="415">
        <v>52987.292397145633</v>
      </c>
      <c r="S26" s="415">
        <v>-16047.31034557012</v>
      </c>
      <c r="T26" s="415">
        <v>36939.982051575513</v>
      </c>
      <c r="U26" s="416"/>
      <c r="V26" s="415">
        <v>59129.364198830015</v>
      </c>
      <c r="W26" s="415">
        <v>-14932.822198830016</v>
      </c>
      <c r="X26" s="415">
        <v>44196.542000000001</v>
      </c>
    </row>
    <row r="27" spans="1:24" x14ac:dyDescent="0.2">
      <c r="A27" s="412"/>
      <c r="B27" s="413"/>
      <c r="C27" s="402"/>
      <c r="D27" s="404" t="s">
        <v>300</v>
      </c>
      <c r="F27" s="414">
        <v>113.904</v>
      </c>
      <c r="G27" s="414">
        <v>73.685999999999922</v>
      </c>
      <c r="H27" s="414">
        <v>44.411000000000058</v>
      </c>
      <c r="I27" s="414">
        <v>40.218000000000075</v>
      </c>
      <c r="J27" s="414">
        <v>69.492999999999938</v>
      </c>
      <c r="K27" s="416"/>
      <c r="L27" s="415">
        <v>26774.15</v>
      </c>
      <c r="M27" s="415">
        <v>7669.9951363636937</v>
      </c>
      <c r="N27" s="415">
        <v>14073.40800000001</v>
      </c>
      <c r="O27" s="415">
        <v>19104.15486363633</v>
      </c>
      <c r="P27" s="415">
        <v>12700.742000000013</v>
      </c>
      <c r="Q27" s="417"/>
      <c r="R27" s="415">
        <v>5070.4172107157156</v>
      </c>
      <c r="S27" s="415">
        <v>14033.737652920612</v>
      </c>
      <c r="T27" s="415">
        <v>19104.15486363633</v>
      </c>
      <c r="U27" s="416"/>
      <c r="V27" s="415">
        <v>-4144.2604377632633</v>
      </c>
      <c r="W27" s="415">
        <v>16845.002437763225</v>
      </c>
      <c r="X27" s="415">
        <v>12700.741999999962</v>
      </c>
    </row>
    <row r="28" spans="1:24" x14ac:dyDescent="0.2">
      <c r="A28" s="412"/>
      <c r="B28" s="413"/>
      <c r="C28" s="402"/>
      <c r="D28" s="404" t="s">
        <v>296</v>
      </c>
      <c r="F28" s="414"/>
      <c r="G28" s="414"/>
      <c r="H28" s="414"/>
      <c r="I28" s="414"/>
      <c r="J28" s="414"/>
      <c r="K28" s="416"/>
      <c r="L28" s="432">
        <v>7637.6980000000003</v>
      </c>
      <c r="M28" s="432">
        <v>1529.15</v>
      </c>
      <c r="N28" s="432">
        <v>-745.03800000000001</v>
      </c>
      <c r="O28" s="415">
        <v>6108.5480000000007</v>
      </c>
      <c r="P28" s="415">
        <v>8382.7360000000008</v>
      </c>
      <c r="Q28" s="417"/>
      <c r="R28" s="415">
        <v>6108.5480000000007</v>
      </c>
      <c r="S28" s="415">
        <v>0</v>
      </c>
      <c r="T28" s="415">
        <v>6108.5480000000007</v>
      </c>
      <c r="U28" s="416"/>
      <c r="V28" s="415">
        <v>8382.7360000000008</v>
      </c>
      <c r="W28" s="415">
        <v>0</v>
      </c>
      <c r="X28" s="415">
        <v>8382.7360000000008</v>
      </c>
    </row>
    <row r="29" spans="1:24" x14ac:dyDescent="0.2">
      <c r="A29" s="412"/>
      <c r="B29" s="413"/>
      <c r="C29" s="402"/>
      <c r="F29" s="414"/>
      <c r="G29" s="414"/>
      <c r="H29" s="414"/>
      <c r="I29" s="414"/>
      <c r="J29" s="414"/>
      <c r="K29" s="416"/>
      <c r="L29" s="432"/>
      <c r="M29" s="415"/>
      <c r="N29" s="415"/>
      <c r="O29" s="415"/>
      <c r="P29" s="415"/>
      <c r="Q29" s="417"/>
      <c r="R29" s="415"/>
      <c r="S29" s="415"/>
      <c r="T29" s="415"/>
      <c r="U29" s="416"/>
      <c r="V29" s="415"/>
      <c r="W29" s="415"/>
      <c r="X29" s="415"/>
    </row>
    <row r="30" spans="1:24" s="411" customFormat="1" ht="13.5" thickBot="1" x14ac:dyDescent="0.25">
      <c r="A30" s="418"/>
      <c r="B30" s="419"/>
      <c r="C30" s="420"/>
      <c r="D30" s="411" t="s">
        <v>301</v>
      </c>
      <c r="F30" s="421">
        <v>473.17</v>
      </c>
      <c r="G30" s="421">
        <v>542.17899999999997</v>
      </c>
      <c r="H30" s="421">
        <v>518.44100000000003</v>
      </c>
      <c r="I30" s="421">
        <v>-69.008999999999958</v>
      </c>
      <c r="J30" s="421">
        <v>-45.271000000000015</v>
      </c>
      <c r="K30" s="422"/>
      <c r="L30" s="423">
        <v>284227</v>
      </c>
      <c r="M30" s="424">
        <v>160568.15842654771</v>
      </c>
      <c r="N30" s="424">
        <v>132927</v>
      </c>
      <c r="O30" s="424">
        <v>123658.84157345229</v>
      </c>
      <c r="P30" s="424">
        <v>151300</v>
      </c>
      <c r="Q30" s="425"/>
      <c r="R30" s="424">
        <v>144096.09208455216</v>
      </c>
      <c r="S30" s="424">
        <v>-20437.250511099886</v>
      </c>
      <c r="T30" s="424">
        <v>123658.84157345227</v>
      </c>
      <c r="U30" s="422"/>
      <c r="V30" s="424">
        <v>162907.37329223574</v>
      </c>
      <c r="W30" s="424">
        <v>-11607.373292235763</v>
      </c>
      <c r="X30" s="424">
        <v>151300</v>
      </c>
    </row>
    <row r="31" spans="1:24" ht="13.5" thickTop="1" x14ac:dyDescent="0.2">
      <c r="A31" s="412"/>
      <c r="B31" s="413"/>
      <c r="C31" s="402"/>
      <c r="F31" s="429"/>
      <c r="G31" s="414"/>
      <c r="H31" s="414"/>
      <c r="I31" s="414"/>
      <c r="J31" s="414"/>
      <c r="K31" s="416"/>
      <c r="L31" s="415"/>
      <c r="M31" s="415"/>
      <c r="N31" s="415"/>
      <c r="O31" s="415"/>
      <c r="P31" s="415"/>
      <c r="Q31" s="417"/>
      <c r="R31" s="431"/>
      <c r="S31" s="431"/>
      <c r="T31" s="415"/>
      <c r="U31" s="416"/>
      <c r="V31" s="431"/>
      <c r="W31" s="431"/>
      <c r="X31" s="415"/>
    </row>
    <row r="32" spans="1:24" x14ac:dyDescent="0.2">
      <c r="A32" s="412"/>
      <c r="B32" s="413"/>
      <c r="C32" s="402"/>
      <c r="D32" s="404" t="s">
        <v>230</v>
      </c>
      <c r="F32" s="414">
        <v>-229.17400000000001</v>
      </c>
      <c r="G32" s="414">
        <v>-222.19300000000001</v>
      </c>
      <c r="H32" s="414">
        <v>-254.13900000000001</v>
      </c>
      <c r="I32" s="414">
        <v>-6.9809999999999945</v>
      </c>
      <c r="J32" s="414">
        <v>24.965</v>
      </c>
      <c r="K32" s="416"/>
      <c r="L32" s="415">
        <v>-59472</v>
      </c>
      <c r="M32" s="415">
        <v>0</v>
      </c>
      <c r="N32" s="415">
        <v>-32451</v>
      </c>
      <c r="O32" s="415">
        <v>-59472</v>
      </c>
      <c r="P32" s="415">
        <v>-27021</v>
      </c>
      <c r="Q32" s="417"/>
      <c r="R32" s="415">
        <v>-59472</v>
      </c>
      <c r="S32" s="415">
        <v>0</v>
      </c>
      <c r="T32" s="415">
        <v>-59472</v>
      </c>
      <c r="U32" s="416"/>
      <c r="V32" s="415">
        <v>-30208.779974738231</v>
      </c>
      <c r="W32" s="415">
        <v>3187.7799747382342</v>
      </c>
      <c r="X32" s="415">
        <v>-27021</v>
      </c>
    </row>
    <row r="33" spans="1:24" x14ac:dyDescent="0.2">
      <c r="A33" s="412"/>
      <c r="B33" s="413"/>
      <c r="C33" s="402"/>
      <c r="D33" s="404" t="s">
        <v>218</v>
      </c>
      <c r="F33" s="414"/>
      <c r="G33" s="414"/>
      <c r="H33" s="414"/>
      <c r="I33" s="414"/>
      <c r="J33" s="414"/>
      <c r="K33" s="416"/>
      <c r="L33" s="415">
        <v>0</v>
      </c>
      <c r="M33" s="415">
        <v>2650</v>
      </c>
      <c r="N33" s="415">
        <v>0</v>
      </c>
      <c r="O33" s="415">
        <v>-2650</v>
      </c>
      <c r="P33" s="415">
        <v>0</v>
      </c>
      <c r="Q33" s="417"/>
      <c r="R33" s="415">
        <v>-2650</v>
      </c>
      <c r="S33" s="415">
        <v>0</v>
      </c>
      <c r="T33" s="415">
        <v>-2650</v>
      </c>
      <c r="U33" s="416"/>
      <c r="V33" s="415">
        <v>0</v>
      </c>
      <c r="W33" s="415">
        <v>0</v>
      </c>
      <c r="X33" s="415">
        <v>0</v>
      </c>
    </row>
    <row r="34" spans="1:24" x14ac:dyDescent="0.2">
      <c r="A34" s="412"/>
      <c r="B34" s="413"/>
      <c r="C34" s="402"/>
      <c r="F34" s="414"/>
      <c r="G34" s="414"/>
      <c r="H34" s="414"/>
      <c r="I34" s="414"/>
      <c r="J34" s="414"/>
      <c r="K34" s="416"/>
      <c r="L34" s="415"/>
      <c r="M34" s="415"/>
      <c r="N34" s="415"/>
      <c r="O34" s="415"/>
      <c r="P34" s="415"/>
      <c r="Q34" s="417"/>
      <c r="R34" s="415"/>
      <c r="S34" s="415"/>
      <c r="T34" s="415"/>
      <c r="U34" s="416"/>
      <c r="V34" s="415"/>
      <c r="W34" s="415"/>
      <c r="X34" s="415"/>
    </row>
    <row r="35" spans="1:24" s="411" customFormat="1" ht="13.5" thickBot="1" x14ac:dyDescent="0.25">
      <c r="A35" s="426"/>
      <c r="B35" s="426"/>
      <c r="C35" s="426"/>
      <c r="D35" s="411" t="s">
        <v>302</v>
      </c>
      <c r="F35" s="421">
        <v>1373.1786069999998</v>
      </c>
      <c r="G35" s="421">
        <v>1188.2920000000001</v>
      </c>
      <c r="H35" s="421">
        <v>1311.6139889999999</v>
      </c>
      <c r="I35" s="421">
        <v>184.88660699999969</v>
      </c>
      <c r="J35" s="421">
        <v>61.564617999999882</v>
      </c>
      <c r="K35" s="422"/>
      <c r="L35" s="424">
        <v>412287.86</v>
      </c>
      <c r="M35" s="424">
        <v>275754.81497200229</v>
      </c>
      <c r="N35" s="424">
        <v>224684.21762000001</v>
      </c>
      <c r="O35" s="424">
        <v>136533.04502799769</v>
      </c>
      <c r="P35" s="424">
        <v>187603.64237999998</v>
      </c>
      <c r="Q35" s="425"/>
      <c r="R35" s="424">
        <v>123159.42572741545</v>
      </c>
      <c r="S35" s="424">
        <v>13373.619300582275</v>
      </c>
      <c r="T35" s="424">
        <v>136533.04502799769</v>
      </c>
      <c r="U35" s="422"/>
      <c r="V35" s="424">
        <v>186313.61368988783</v>
      </c>
      <c r="W35" s="424">
        <v>1290.0286901121362</v>
      </c>
      <c r="X35" s="424">
        <v>187603.64237999995</v>
      </c>
    </row>
    <row r="36" spans="1:24" s="411" customFormat="1" ht="13.5" thickTop="1" x14ac:dyDescent="0.2">
      <c r="A36" s="426"/>
      <c r="B36" s="426"/>
      <c r="C36" s="426"/>
      <c r="F36" s="427"/>
      <c r="G36" s="427"/>
      <c r="H36" s="427"/>
      <c r="I36" s="427"/>
      <c r="J36" s="427"/>
      <c r="K36" s="422"/>
      <c r="L36" s="428"/>
      <c r="M36" s="428"/>
      <c r="N36" s="428"/>
      <c r="O36" s="428"/>
      <c r="P36" s="428"/>
      <c r="Q36" s="425"/>
      <c r="R36" s="428"/>
      <c r="S36" s="428"/>
      <c r="T36" s="428"/>
      <c r="U36" s="422"/>
      <c r="V36" s="428"/>
      <c r="W36" s="428"/>
      <c r="X36" s="428"/>
    </row>
    <row r="37" spans="1:24" s="411" customFormat="1" ht="13.5" thickBot="1" x14ac:dyDescent="0.25">
      <c r="A37" s="426"/>
      <c r="B37" s="426"/>
      <c r="C37" s="426"/>
      <c r="D37" s="411" t="s">
        <v>304</v>
      </c>
      <c r="F37" s="427"/>
      <c r="G37" s="427"/>
      <c r="H37" s="427"/>
      <c r="I37" s="427"/>
      <c r="J37" s="427"/>
      <c r="K37" s="422"/>
      <c r="L37" s="428"/>
      <c r="M37" s="428"/>
      <c r="N37" s="428"/>
      <c r="O37" s="428"/>
      <c r="P37" s="428"/>
      <c r="Q37" s="425"/>
      <c r="R37" s="424">
        <v>93628.294256229317</v>
      </c>
      <c r="S37" s="424">
        <v>42904.750771768398</v>
      </c>
      <c r="T37" s="424">
        <v>136533.04502799772</v>
      </c>
      <c r="U37" s="422"/>
      <c r="V37" s="424">
        <v>177057.40076896749</v>
      </c>
      <c r="W37" s="424">
        <v>10546.241611032516</v>
      </c>
      <c r="X37" s="424">
        <v>187603.64237999998</v>
      </c>
    </row>
    <row r="38" spans="1:24" ht="15" thickTop="1" x14ac:dyDescent="0.2">
      <c r="A38" s="412"/>
      <c r="B38" s="413"/>
      <c r="C38" s="402"/>
      <c r="D38"/>
      <c r="E38"/>
      <c r="F38" s="433"/>
      <c r="G38"/>
      <c r="H38"/>
      <c r="I38"/>
      <c r="J38"/>
      <c r="K38"/>
      <c r="L38"/>
      <c r="M38"/>
      <c r="N38"/>
      <c r="O38"/>
      <c r="P38"/>
      <c r="Q38" s="434"/>
      <c r="R38"/>
      <c r="S38"/>
      <c r="T38"/>
      <c r="U38"/>
      <c r="V38"/>
      <c r="W38"/>
      <c r="X38"/>
    </row>
    <row r="39" spans="1:24" x14ac:dyDescent="0.2">
      <c r="F39" s="436"/>
      <c r="G39" s="436"/>
      <c r="H39" s="436"/>
      <c r="I39" s="436"/>
      <c r="J39" s="436"/>
    </row>
    <row r="40" spans="1:24" x14ac:dyDescent="0.2">
      <c r="F40" s="436"/>
      <c r="G40" s="436"/>
      <c r="H40" s="436"/>
      <c r="I40" s="436"/>
      <c r="J40" s="436"/>
    </row>
    <row r="41" spans="1:24" x14ac:dyDescent="0.2">
      <c r="F41" s="436"/>
      <c r="G41" s="436"/>
      <c r="H41" s="436"/>
      <c r="I41" s="436"/>
      <c r="J41" s="436"/>
    </row>
    <row r="42" spans="1:24" x14ac:dyDescent="0.2">
      <c r="F42" s="436"/>
      <c r="G42" s="436"/>
      <c r="H42" s="436"/>
      <c r="I42" s="436"/>
      <c r="J42" s="436"/>
    </row>
    <row r="43" spans="1:24" x14ac:dyDescent="0.2">
      <c r="F43" s="436"/>
      <c r="G43" s="436"/>
      <c r="H43" s="436"/>
      <c r="I43" s="436"/>
      <c r="J43" s="436"/>
    </row>
    <row r="44" spans="1:24" x14ac:dyDescent="0.2">
      <c r="F44" s="436"/>
      <c r="G44" s="436"/>
      <c r="H44" s="436"/>
      <c r="I44" s="436"/>
      <c r="J44" s="436"/>
    </row>
    <row r="45" spans="1:24" x14ac:dyDescent="0.2">
      <c r="F45" s="436"/>
      <c r="G45" s="436"/>
      <c r="H45" s="436"/>
      <c r="I45" s="436"/>
      <c r="J45" s="436"/>
    </row>
    <row r="46" spans="1:24" x14ac:dyDescent="0.2">
      <c r="F46" s="436"/>
      <c r="G46" s="436"/>
      <c r="H46" s="436"/>
      <c r="I46" s="436"/>
      <c r="J46" s="436"/>
    </row>
    <row r="47" spans="1:24" x14ac:dyDescent="0.2">
      <c r="F47" s="436"/>
      <c r="G47" s="436"/>
      <c r="H47" s="436"/>
      <c r="I47" s="436"/>
      <c r="J47" s="436"/>
    </row>
    <row r="48" spans="1:24" x14ac:dyDescent="0.2">
      <c r="F48" s="436"/>
      <c r="G48" s="436"/>
      <c r="H48" s="436"/>
      <c r="I48" s="436"/>
      <c r="J48" s="436"/>
    </row>
    <row r="49" spans="6:10" x14ac:dyDescent="0.2">
      <c r="F49" s="436"/>
      <c r="G49" s="436"/>
      <c r="H49" s="436"/>
      <c r="I49" s="436"/>
      <c r="J49" s="436"/>
    </row>
    <row r="50" spans="6:10" x14ac:dyDescent="0.2">
      <c r="F50" s="436"/>
      <c r="G50" s="436"/>
      <c r="H50" s="436"/>
      <c r="I50" s="436"/>
      <c r="J50" s="436"/>
    </row>
    <row r="51" spans="6:10" x14ac:dyDescent="0.2">
      <c r="F51" s="436"/>
      <c r="G51" s="436"/>
      <c r="H51" s="436"/>
      <c r="I51" s="436"/>
      <c r="J51" s="436"/>
    </row>
    <row r="52" spans="6:10" x14ac:dyDescent="0.2">
      <c r="F52" s="436"/>
      <c r="G52" s="436"/>
      <c r="H52" s="436"/>
      <c r="I52" s="436"/>
      <c r="J52" s="436"/>
    </row>
    <row r="53" spans="6:10" x14ac:dyDescent="0.2">
      <c r="F53" s="436"/>
      <c r="G53" s="436"/>
      <c r="H53" s="436"/>
      <c r="I53" s="436"/>
      <c r="J53" s="436"/>
    </row>
    <row r="54" spans="6:10" x14ac:dyDescent="0.2">
      <c r="F54" s="436"/>
      <c r="G54" s="436"/>
      <c r="H54" s="436"/>
      <c r="I54" s="436"/>
      <c r="J54" s="436"/>
    </row>
    <row r="55" spans="6:10" x14ac:dyDescent="0.2">
      <c r="F55" s="436"/>
      <c r="G55" s="436"/>
      <c r="H55" s="436"/>
      <c r="I55" s="436"/>
      <c r="J55" s="436"/>
    </row>
    <row r="56" spans="6:10" x14ac:dyDescent="0.2">
      <c r="F56" s="436"/>
      <c r="G56" s="436"/>
      <c r="H56" s="436"/>
      <c r="I56" s="436"/>
      <c r="J56" s="436"/>
    </row>
    <row r="57" spans="6:10" x14ac:dyDescent="0.2">
      <c r="F57" s="436"/>
      <c r="G57" s="436"/>
      <c r="H57" s="436"/>
      <c r="I57" s="436"/>
      <c r="J57" s="436"/>
    </row>
    <row r="58" spans="6:10" x14ac:dyDescent="0.2">
      <c r="F58" s="436"/>
      <c r="G58" s="436"/>
      <c r="H58" s="436"/>
      <c r="I58" s="436"/>
      <c r="J58" s="436"/>
    </row>
    <row r="59" spans="6:10" x14ac:dyDescent="0.2">
      <c r="F59" s="436"/>
      <c r="G59" s="436"/>
      <c r="H59" s="436"/>
      <c r="I59" s="436"/>
      <c r="J59" s="436"/>
    </row>
    <row r="60" spans="6:10" x14ac:dyDescent="0.2">
      <c r="F60" s="436"/>
      <c r="G60" s="436"/>
      <c r="H60" s="436"/>
      <c r="I60" s="436"/>
      <c r="J60" s="436"/>
    </row>
    <row r="61" spans="6:10" x14ac:dyDescent="0.2">
      <c r="F61" s="436"/>
      <c r="G61" s="436"/>
      <c r="H61" s="436"/>
      <c r="I61" s="436"/>
      <c r="J61" s="436"/>
    </row>
    <row r="62" spans="6:10" x14ac:dyDescent="0.2">
      <c r="F62" s="436"/>
      <c r="G62" s="436"/>
      <c r="H62" s="436"/>
      <c r="I62" s="436"/>
      <c r="J62" s="436"/>
    </row>
    <row r="63" spans="6:10" x14ac:dyDescent="0.2">
      <c r="F63" s="436"/>
      <c r="G63" s="436"/>
      <c r="H63" s="436"/>
      <c r="I63" s="436"/>
      <c r="J63" s="436"/>
    </row>
    <row r="64" spans="6:10" x14ac:dyDescent="0.2">
      <c r="F64" s="436"/>
      <c r="G64" s="436"/>
      <c r="H64" s="436"/>
      <c r="I64" s="436"/>
      <c r="J64" s="436"/>
    </row>
    <row r="65" spans="6:10" x14ac:dyDescent="0.2">
      <c r="F65" s="436"/>
      <c r="G65" s="436"/>
      <c r="H65" s="436"/>
      <c r="I65" s="436"/>
      <c r="J65" s="436"/>
    </row>
    <row r="66" spans="6:10" x14ac:dyDescent="0.2">
      <c r="F66" s="436"/>
      <c r="G66" s="436"/>
      <c r="H66" s="436"/>
      <c r="I66" s="436"/>
      <c r="J66" s="436"/>
    </row>
    <row r="67" spans="6:10" x14ac:dyDescent="0.2">
      <c r="F67" s="436"/>
      <c r="G67" s="436"/>
      <c r="H67" s="436"/>
      <c r="I67" s="436"/>
      <c r="J67" s="436"/>
    </row>
    <row r="68" spans="6:10" x14ac:dyDescent="0.2">
      <c r="F68" s="436"/>
      <c r="G68" s="436"/>
      <c r="H68" s="436"/>
      <c r="I68" s="436"/>
      <c r="J68" s="436"/>
    </row>
    <row r="69" spans="6:10" x14ac:dyDescent="0.2">
      <c r="F69" s="436"/>
      <c r="G69" s="436"/>
      <c r="H69" s="436"/>
      <c r="I69" s="436"/>
      <c r="J69" s="436"/>
    </row>
    <row r="70" spans="6:10" x14ac:dyDescent="0.2">
      <c r="F70" s="436"/>
      <c r="G70" s="436"/>
      <c r="H70" s="436"/>
      <c r="I70" s="436"/>
      <c r="J70" s="436"/>
    </row>
    <row r="71" spans="6:10" x14ac:dyDescent="0.2">
      <c r="F71" s="436"/>
      <c r="G71" s="436"/>
      <c r="H71" s="436"/>
      <c r="I71" s="436"/>
      <c r="J71" s="436"/>
    </row>
    <row r="72" spans="6:10" x14ac:dyDescent="0.2">
      <c r="F72" s="436"/>
      <c r="G72" s="436"/>
      <c r="H72" s="436"/>
      <c r="I72" s="436"/>
      <c r="J72" s="436"/>
    </row>
    <row r="73" spans="6:10" x14ac:dyDescent="0.2">
      <c r="F73" s="436"/>
      <c r="G73" s="436"/>
      <c r="H73" s="436"/>
      <c r="I73" s="436"/>
      <c r="J73" s="436"/>
    </row>
    <row r="74" spans="6:10" x14ac:dyDescent="0.2">
      <c r="F74" s="436"/>
      <c r="G74" s="436"/>
      <c r="H74" s="436"/>
      <c r="I74" s="436"/>
      <c r="J74" s="436"/>
    </row>
    <row r="75" spans="6:10" x14ac:dyDescent="0.2">
      <c r="F75" s="436"/>
      <c r="G75" s="436"/>
      <c r="H75" s="436"/>
      <c r="I75" s="436"/>
      <c r="J75" s="436"/>
    </row>
    <row r="76" spans="6:10" x14ac:dyDescent="0.2">
      <c r="F76" s="436"/>
      <c r="G76" s="436"/>
      <c r="H76" s="436"/>
      <c r="I76" s="436"/>
      <c r="J76" s="436"/>
    </row>
    <row r="77" spans="6:10" x14ac:dyDescent="0.2">
      <c r="F77" s="436"/>
      <c r="G77" s="436"/>
      <c r="H77" s="436"/>
      <c r="I77" s="436"/>
      <c r="J77" s="436"/>
    </row>
  </sheetData>
  <mergeCells count="5">
    <mergeCell ref="D3:E3"/>
    <mergeCell ref="F4:J4"/>
    <mergeCell ref="L4:P4"/>
    <mergeCell ref="R4:T4"/>
    <mergeCell ref="V4:X4"/>
  </mergeCells>
  <conditionalFormatting sqref="D6:J22 L6:P22 R6:T22 V6:X22 D24:J38 L24:P38 R24:T38 V24:X38">
    <cfRule type="expression" dxfId="0" priority="1" stopIfTrue="1">
      <formula>MOD(ROW(),2)=0</formula>
    </cfRule>
  </conditionalFormatting>
  <pageMargins left="0.7" right="0.7" top="0.75" bottom="0.75" header="0.3" footer="0.3"/>
  <customProperties>
    <customPr name="_pios_id" r:id="rId1"/>
  </customPropertie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AB129"/>
  <sheetViews>
    <sheetView topLeftCell="J49" workbookViewId="0"/>
  </sheetViews>
  <sheetFormatPr defaultColWidth="9.28515625" defaultRowHeight="11.25" x14ac:dyDescent="0.2"/>
  <cols>
    <col min="1" max="1" width="14.42578125" style="114" bestFit="1" customWidth="1"/>
    <col min="2" max="2" width="10.7109375" style="114" customWidth="1"/>
    <col min="3" max="3" width="12.5703125" style="118" customWidth="1"/>
    <col min="4" max="4" width="9" style="114" customWidth="1"/>
    <col min="5" max="5" width="8.42578125" style="114" customWidth="1"/>
    <col min="6" max="6" width="7" style="114" bestFit="1" customWidth="1"/>
    <col min="7" max="7" width="6.28515625" style="114" bestFit="1" customWidth="1"/>
    <col min="8" max="20" width="7.28515625" style="114" bestFit="1" customWidth="1"/>
    <col min="21" max="23" width="9.28515625" style="114"/>
    <col min="24" max="24" width="16.7109375" style="114" bestFit="1" customWidth="1"/>
    <col min="25" max="16384" width="9.28515625" style="114"/>
  </cols>
  <sheetData>
    <row r="1" spans="1:25" x14ac:dyDescent="0.2">
      <c r="H1" s="114" t="s">
        <v>190</v>
      </c>
      <c r="I1" s="114" t="s">
        <v>305</v>
      </c>
      <c r="J1" s="114" t="s">
        <v>306</v>
      </c>
      <c r="K1" s="114" t="s">
        <v>307</v>
      </c>
      <c r="L1" s="114" t="s">
        <v>308</v>
      </c>
      <c r="M1" s="114" t="s">
        <v>309</v>
      </c>
      <c r="N1" s="114" t="s">
        <v>310</v>
      </c>
      <c r="O1" s="114" t="s">
        <v>311</v>
      </c>
      <c r="P1" s="114" t="s">
        <v>312</v>
      </c>
      <c r="Q1" s="114" t="s">
        <v>313</v>
      </c>
      <c r="R1" s="114" t="s">
        <v>314</v>
      </c>
      <c r="S1" s="114" t="s">
        <v>315</v>
      </c>
      <c r="T1" s="114" t="s">
        <v>190</v>
      </c>
    </row>
    <row r="2" spans="1:25" x14ac:dyDescent="0.2">
      <c r="A2" s="111" t="s">
        <v>316</v>
      </c>
      <c r="B2" s="112"/>
      <c r="C2" s="113"/>
      <c r="D2" s="112"/>
    </row>
    <row r="3" spans="1:25" ht="33.75" x14ac:dyDescent="0.2">
      <c r="A3" s="115"/>
      <c r="B3" s="437" t="s">
        <v>317</v>
      </c>
      <c r="C3" s="438" t="s">
        <v>318</v>
      </c>
      <c r="D3" s="437" t="s">
        <v>130</v>
      </c>
      <c r="F3" s="114" t="s">
        <v>131</v>
      </c>
      <c r="G3" s="114" t="s">
        <v>132</v>
      </c>
      <c r="H3" s="116">
        <v>40238</v>
      </c>
      <c r="I3" s="116">
        <v>40269</v>
      </c>
      <c r="J3" s="116">
        <v>40299</v>
      </c>
      <c r="K3" s="116">
        <v>40330</v>
      </c>
      <c r="L3" s="116">
        <v>40360</v>
      </c>
      <c r="M3" s="116">
        <v>40391</v>
      </c>
      <c r="N3" s="116">
        <v>40422</v>
      </c>
      <c r="O3" s="116">
        <v>40452</v>
      </c>
      <c r="P3" s="116">
        <v>40483</v>
      </c>
      <c r="Q3" s="116">
        <v>40513</v>
      </c>
      <c r="R3" s="116">
        <v>40544</v>
      </c>
      <c r="S3" s="116">
        <v>40575</v>
      </c>
      <c r="T3" s="116">
        <v>40603</v>
      </c>
    </row>
    <row r="4" spans="1:25" ht="12.75" x14ac:dyDescent="0.2">
      <c r="A4" s="117" t="s">
        <v>13</v>
      </c>
      <c r="W4" s="213" t="s">
        <v>161</v>
      </c>
      <c r="X4" s="439" t="s">
        <v>162</v>
      </c>
    </row>
    <row r="5" spans="1:25" ht="12.75" x14ac:dyDescent="0.2">
      <c r="A5" s="114" t="s">
        <v>133</v>
      </c>
      <c r="B5" s="119" t="e">
        <f>F5</f>
        <v>#NAME?</v>
      </c>
      <c r="F5" s="119" t="e">
        <f>G5/13</f>
        <v>#NAME?</v>
      </c>
      <c r="G5" s="119" t="e">
        <f>SUM(H5:T5)</f>
        <v>#NAME?</v>
      </c>
      <c r="H5" s="440" t="e">
        <v>#NAME?</v>
      </c>
      <c r="I5" s="440" t="e">
        <v>#NAME?</v>
      </c>
      <c r="J5" s="440" t="e">
        <v>#NAME?</v>
      </c>
      <c r="K5" s="440" t="e">
        <v>#NAME?</v>
      </c>
      <c r="L5" s="440" t="e">
        <v>#NAME?</v>
      </c>
      <c r="M5" s="440" t="e">
        <v>#NAME?</v>
      </c>
      <c r="N5" s="440" t="e">
        <v>#NAME?</v>
      </c>
      <c r="O5" s="440" t="e">
        <v>#NAME?</v>
      </c>
      <c r="P5" s="440" t="e">
        <v>#NAME?</v>
      </c>
      <c r="Q5" s="440" t="e">
        <v>#NAME?</v>
      </c>
      <c r="R5" s="440" t="e">
        <v>#NAME?</v>
      </c>
      <c r="S5" s="440" t="e">
        <v>#NAME?</v>
      </c>
      <c r="T5" s="440" t="e">
        <v>#NAME?</v>
      </c>
      <c r="W5" s="215" t="s">
        <v>163</v>
      </c>
      <c r="X5" s="216">
        <v>2010</v>
      </c>
      <c r="Y5" s="114">
        <v>2011</v>
      </c>
    </row>
    <row r="6" spans="1:25" ht="12.75" x14ac:dyDescent="0.2">
      <c r="A6" s="114" t="s">
        <v>134</v>
      </c>
      <c r="B6" s="119" t="e">
        <f>F6</f>
        <v>#NAME?</v>
      </c>
      <c r="F6" s="119" t="e">
        <f>G6/13</f>
        <v>#NAME?</v>
      </c>
      <c r="G6" s="119" t="e">
        <f>SUM(H6:T6)</f>
        <v>#NAME?</v>
      </c>
      <c r="H6" s="440" t="e">
        <v>#NAME?</v>
      </c>
      <c r="I6" s="440" t="e">
        <v>#NAME?</v>
      </c>
      <c r="J6" s="440" t="e">
        <v>#NAME?</v>
      </c>
      <c r="K6" s="440" t="e">
        <v>#NAME?</v>
      </c>
      <c r="L6" s="440" t="e">
        <v>#NAME?</v>
      </c>
      <c r="M6" s="440" t="e">
        <v>#NAME?</v>
      </c>
      <c r="N6" s="440" t="e">
        <v>#NAME?</v>
      </c>
      <c r="O6" s="440" t="e">
        <v>#NAME?</v>
      </c>
      <c r="P6" s="440" t="e">
        <v>#NAME?</v>
      </c>
      <c r="Q6" s="440" t="e">
        <v>#NAME?</v>
      </c>
      <c r="R6" s="440" t="e">
        <v>#NAME?</v>
      </c>
      <c r="S6" s="440" t="e">
        <v>#NAME?</v>
      </c>
      <c r="T6" s="440" t="e">
        <v>#NAME?</v>
      </c>
      <c r="W6" s="215" t="s">
        <v>165</v>
      </c>
      <c r="X6" s="216" t="s">
        <v>166</v>
      </c>
    </row>
    <row r="7" spans="1:25" ht="12.75" x14ac:dyDescent="0.2">
      <c r="A7" s="114" t="s">
        <v>135</v>
      </c>
      <c r="B7" s="119" t="e">
        <f>F7</f>
        <v>#NAME?</v>
      </c>
      <c r="F7" s="119" t="e">
        <f>G7/13</f>
        <v>#NAME?</v>
      </c>
      <c r="G7" s="119" t="e">
        <f>SUM(H7:T7)</f>
        <v>#NAME?</v>
      </c>
      <c r="H7" s="440" t="e">
        <v>#NAME?</v>
      </c>
      <c r="I7" s="440" t="e">
        <v>#NAME?</v>
      </c>
      <c r="J7" s="440" t="e">
        <v>#NAME?</v>
      </c>
      <c r="K7" s="440" t="e">
        <v>#NAME?</v>
      </c>
      <c r="L7" s="440" t="e">
        <v>#NAME?</v>
      </c>
      <c r="M7" s="440" t="e">
        <v>#NAME?</v>
      </c>
      <c r="N7" s="440" t="e">
        <v>#NAME?</v>
      </c>
      <c r="O7" s="440" t="e">
        <v>#NAME?</v>
      </c>
      <c r="P7" s="440" t="e">
        <v>#NAME?</v>
      </c>
      <c r="Q7" s="440" t="e">
        <v>#NAME?</v>
      </c>
      <c r="R7" s="440" t="e">
        <v>#NAME?</v>
      </c>
      <c r="S7" s="440" t="e">
        <v>#NAME?</v>
      </c>
      <c r="T7" s="440" t="e">
        <v>#NAME?</v>
      </c>
      <c r="W7" s="215" t="s">
        <v>167</v>
      </c>
      <c r="X7" s="233" t="s">
        <v>319</v>
      </c>
    </row>
    <row r="8" spans="1:25" ht="12.75" x14ac:dyDescent="0.2">
      <c r="A8" s="120" t="s">
        <v>136</v>
      </c>
      <c r="B8" s="121" t="e">
        <f>SUM(B5:B7)</f>
        <v>#NAME?</v>
      </c>
      <c r="C8" s="441">
        <v>1492.6</v>
      </c>
      <c r="D8" s="123" t="e">
        <f>B8/C8</f>
        <v>#NAME?</v>
      </c>
      <c r="E8" s="124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W8" s="215" t="s">
        <v>169</v>
      </c>
      <c r="X8" s="233" t="s">
        <v>192</v>
      </c>
      <c r="Y8" s="114" t="s">
        <v>320</v>
      </c>
    </row>
    <row r="9" spans="1:25" ht="12.75" x14ac:dyDescent="0.2">
      <c r="A9" s="117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W9" s="215" t="s">
        <v>172</v>
      </c>
      <c r="X9" s="233" t="s">
        <v>191</v>
      </c>
    </row>
    <row r="10" spans="1:25" ht="12.75" x14ac:dyDescent="0.2">
      <c r="A10" s="117" t="s">
        <v>49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W10" s="215" t="s">
        <v>174</v>
      </c>
      <c r="X10" s="216" t="s">
        <v>175</v>
      </c>
    </row>
    <row r="11" spans="1:25" ht="12.75" x14ac:dyDescent="0.2">
      <c r="A11" s="114" t="s">
        <v>133</v>
      </c>
      <c r="B11" s="119" t="e">
        <f>F11</f>
        <v>#NAME?</v>
      </c>
      <c r="F11" s="119" t="e">
        <f>G11/13</f>
        <v>#NAME?</v>
      </c>
      <c r="G11" s="119" t="e">
        <f>SUM(H11:T11)</f>
        <v>#NAME?</v>
      </c>
      <c r="H11" s="440" t="e">
        <v>#NAME?</v>
      </c>
      <c r="I11" s="440" t="e">
        <v>#NAME?</v>
      </c>
      <c r="J11" s="440" t="e">
        <v>#NAME?</v>
      </c>
      <c r="K11" s="440" t="e">
        <v>#NAME?</v>
      </c>
      <c r="L11" s="440" t="e">
        <v>#NAME?</v>
      </c>
      <c r="M11" s="440" t="e">
        <v>#NAME?</v>
      </c>
      <c r="N11" s="440" t="e">
        <v>#NAME?</v>
      </c>
      <c r="O11" s="440" t="e">
        <v>#NAME?</v>
      </c>
      <c r="P11" s="440" t="e">
        <v>#NAME?</v>
      </c>
      <c r="Q11" s="440" t="e">
        <v>#NAME?</v>
      </c>
      <c r="R11" s="440" t="e">
        <v>#NAME?</v>
      </c>
      <c r="S11" s="440" t="e">
        <v>#NAME?</v>
      </c>
      <c r="T11" s="440" t="e">
        <v>#NAME?</v>
      </c>
      <c r="W11" s="215" t="s">
        <v>176</v>
      </c>
      <c r="X11" s="216" t="s">
        <v>177</v>
      </c>
    </row>
    <row r="12" spans="1:25" ht="12.75" x14ac:dyDescent="0.2">
      <c r="A12" s="114" t="s">
        <v>134</v>
      </c>
      <c r="B12" s="119" t="e">
        <f>F12</f>
        <v>#NAME?</v>
      </c>
      <c r="F12" s="119" t="e">
        <f>G12/13</f>
        <v>#NAME?</v>
      </c>
      <c r="G12" s="119" t="e">
        <f>SUM(H12:T12)</f>
        <v>#NAME?</v>
      </c>
      <c r="H12" s="440" t="e">
        <v>#NAME?</v>
      </c>
      <c r="I12" s="440" t="e">
        <v>#NAME?</v>
      </c>
      <c r="J12" s="440" t="e">
        <v>#NAME?</v>
      </c>
      <c r="K12" s="440" t="e">
        <v>#NAME?</v>
      </c>
      <c r="L12" s="440" t="e">
        <v>#NAME?</v>
      </c>
      <c r="M12" s="440" t="e">
        <v>#NAME?</v>
      </c>
      <c r="N12" s="440" t="e">
        <v>#NAME?</v>
      </c>
      <c r="O12" s="440" t="e">
        <v>#NAME?</v>
      </c>
      <c r="P12" s="440" t="e">
        <v>#NAME?</v>
      </c>
      <c r="Q12" s="440" t="e">
        <v>#NAME?</v>
      </c>
      <c r="R12" s="440" t="e">
        <v>#NAME?</v>
      </c>
      <c r="S12" s="440" t="e">
        <v>#NAME?</v>
      </c>
      <c r="T12" s="440" t="e">
        <v>#NAME?</v>
      </c>
      <c r="W12" s="215" t="s">
        <v>178</v>
      </c>
      <c r="X12" s="216" t="s">
        <v>179</v>
      </c>
    </row>
    <row r="13" spans="1:25" ht="12.75" x14ac:dyDescent="0.2">
      <c r="A13" s="114" t="s">
        <v>135</v>
      </c>
      <c r="B13" s="119" t="e">
        <f>F13</f>
        <v>#NAME?</v>
      </c>
      <c r="F13" s="119" t="e">
        <f>G13/13</f>
        <v>#NAME?</v>
      </c>
      <c r="G13" s="119" t="e">
        <f>SUM(H13:T13)</f>
        <v>#NAME?</v>
      </c>
      <c r="H13" s="440" t="e">
        <v>#NAME?</v>
      </c>
      <c r="I13" s="440" t="e">
        <v>#NAME?</v>
      </c>
      <c r="J13" s="440" t="e">
        <v>#NAME?</v>
      </c>
      <c r="K13" s="440" t="e">
        <v>#NAME?</v>
      </c>
      <c r="L13" s="440" t="e">
        <v>#NAME?</v>
      </c>
      <c r="M13" s="440" t="e">
        <v>#NAME?</v>
      </c>
      <c r="N13" s="440" t="e">
        <v>#NAME?</v>
      </c>
      <c r="O13" s="440" t="e">
        <v>#NAME?</v>
      </c>
      <c r="P13" s="440" t="e">
        <v>#NAME?</v>
      </c>
      <c r="Q13" s="440" t="e">
        <v>#NAME?</v>
      </c>
      <c r="R13" s="440" t="e">
        <v>#NAME?</v>
      </c>
      <c r="S13" s="440" t="e">
        <v>#NAME?</v>
      </c>
      <c r="T13" s="440" t="e">
        <v>#NAME?</v>
      </c>
      <c r="W13" s="215" t="s">
        <v>180</v>
      </c>
      <c r="X13" s="216" t="s">
        <v>181</v>
      </c>
    </row>
    <row r="14" spans="1:25" ht="12.75" x14ac:dyDescent="0.2">
      <c r="A14" s="120" t="s">
        <v>136</v>
      </c>
      <c r="B14" s="121" t="e">
        <f>SUM(B11:B13)</f>
        <v>#NAME?</v>
      </c>
      <c r="C14" s="441">
        <v>1627.1</v>
      </c>
      <c r="D14" s="123" t="e">
        <f>B14/C14</f>
        <v>#NAME?</v>
      </c>
      <c r="E14" s="124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W14" s="225" t="s">
        <v>182</v>
      </c>
      <c r="X14" s="226" t="s">
        <v>183</v>
      </c>
    </row>
    <row r="15" spans="1:25" x14ac:dyDescent="0.2"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W15" s="114" t="s">
        <v>171</v>
      </c>
      <c r="X15" s="114" t="s">
        <v>321</v>
      </c>
      <c r="Y15" s="114" t="s">
        <v>133</v>
      </c>
    </row>
    <row r="16" spans="1:25" x14ac:dyDescent="0.2">
      <c r="A16" s="117" t="s">
        <v>132</v>
      </c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X16" s="114" t="s">
        <v>322</v>
      </c>
      <c r="Y16" s="114" t="s">
        <v>134</v>
      </c>
    </row>
    <row r="17" spans="1:25" x14ac:dyDescent="0.2">
      <c r="A17" s="114" t="s">
        <v>133</v>
      </c>
      <c r="B17" s="119" t="e">
        <f>SUM(B5,B11)</f>
        <v>#NAME?</v>
      </c>
      <c r="F17" s="119" t="e">
        <f>G17/13</f>
        <v>#NAME?</v>
      </c>
      <c r="G17" s="119" t="e">
        <f>SUM(H17:T17)</f>
        <v>#NAME?</v>
      </c>
      <c r="H17" s="119" t="e">
        <f>H5+H11</f>
        <v>#NAME?</v>
      </c>
      <c r="I17" s="119" t="e">
        <f t="shared" ref="I17:M17" si="0">I5+I11</f>
        <v>#NAME?</v>
      </c>
      <c r="J17" s="119" t="e">
        <f t="shared" si="0"/>
        <v>#NAME?</v>
      </c>
      <c r="K17" s="119" t="e">
        <f t="shared" si="0"/>
        <v>#NAME?</v>
      </c>
      <c r="L17" s="119" t="e">
        <f t="shared" si="0"/>
        <v>#NAME?</v>
      </c>
      <c r="M17" s="119" t="e">
        <f t="shared" si="0"/>
        <v>#NAME?</v>
      </c>
      <c r="N17" s="119" t="e">
        <f t="shared" ref="N17:T19" si="1">SUM(N11,N5)</f>
        <v>#NAME?</v>
      </c>
      <c r="O17" s="119" t="e">
        <f t="shared" si="1"/>
        <v>#NAME?</v>
      </c>
      <c r="P17" s="119" t="e">
        <f t="shared" si="1"/>
        <v>#NAME?</v>
      </c>
      <c r="Q17" s="119" t="e">
        <f t="shared" si="1"/>
        <v>#NAME?</v>
      </c>
      <c r="R17" s="119" t="e">
        <f t="shared" si="1"/>
        <v>#NAME?</v>
      </c>
      <c r="S17" s="119" t="e">
        <f t="shared" si="1"/>
        <v>#NAME?</v>
      </c>
      <c r="T17" s="119" t="e">
        <f t="shared" si="1"/>
        <v>#NAME?</v>
      </c>
      <c r="X17" s="114" t="s">
        <v>323</v>
      </c>
      <c r="Y17" s="114" t="s">
        <v>135</v>
      </c>
    </row>
    <row r="18" spans="1:25" x14ac:dyDescent="0.2">
      <c r="A18" s="114" t="s">
        <v>134</v>
      </c>
      <c r="B18" s="119" t="e">
        <f>SUM(B6,B12)</f>
        <v>#NAME?</v>
      </c>
      <c r="F18" s="119" t="e">
        <f>G18/13</f>
        <v>#NAME?</v>
      </c>
      <c r="G18" s="119" t="e">
        <f>SUM(H18:T18)</f>
        <v>#NAME?</v>
      </c>
      <c r="H18" s="119" t="e">
        <f t="shared" ref="H18:M19" si="2">H6+H12</f>
        <v>#NAME?</v>
      </c>
      <c r="I18" s="119" t="e">
        <f t="shared" si="2"/>
        <v>#NAME?</v>
      </c>
      <c r="J18" s="119" t="e">
        <f t="shared" si="2"/>
        <v>#NAME?</v>
      </c>
      <c r="K18" s="119" t="e">
        <f t="shared" si="2"/>
        <v>#NAME?</v>
      </c>
      <c r="L18" s="119" t="e">
        <f t="shared" si="2"/>
        <v>#NAME?</v>
      </c>
      <c r="M18" s="119" t="e">
        <f t="shared" si="2"/>
        <v>#NAME?</v>
      </c>
      <c r="N18" s="119" t="e">
        <f t="shared" si="1"/>
        <v>#NAME?</v>
      </c>
      <c r="O18" s="119" t="e">
        <f t="shared" si="1"/>
        <v>#NAME?</v>
      </c>
      <c r="P18" s="119" t="e">
        <f t="shared" si="1"/>
        <v>#NAME?</v>
      </c>
      <c r="Q18" s="119" t="e">
        <f t="shared" si="1"/>
        <v>#NAME?</v>
      </c>
      <c r="R18" s="119" t="e">
        <f t="shared" si="1"/>
        <v>#NAME?</v>
      </c>
      <c r="S18" s="119" t="e">
        <f t="shared" si="1"/>
        <v>#NAME?</v>
      </c>
      <c r="T18" s="119" t="e">
        <f t="shared" si="1"/>
        <v>#NAME?</v>
      </c>
    </row>
    <row r="19" spans="1:25" x14ac:dyDescent="0.2">
      <c r="A19" s="114" t="s">
        <v>135</v>
      </c>
      <c r="B19" s="119" t="e">
        <f>SUM(B7,B13)</f>
        <v>#NAME?</v>
      </c>
      <c r="F19" s="119" t="e">
        <f>G19/13</f>
        <v>#NAME?</v>
      </c>
      <c r="G19" s="119" t="e">
        <f>SUM(H19:T19)</f>
        <v>#NAME?</v>
      </c>
      <c r="H19" s="119" t="e">
        <f>H7+H13</f>
        <v>#NAME?</v>
      </c>
      <c r="I19" s="119" t="e">
        <f t="shared" si="2"/>
        <v>#NAME?</v>
      </c>
      <c r="J19" s="119" t="e">
        <f t="shared" si="2"/>
        <v>#NAME?</v>
      </c>
      <c r="K19" s="119" t="e">
        <f t="shared" si="2"/>
        <v>#NAME?</v>
      </c>
      <c r="L19" s="119" t="e">
        <f t="shared" si="2"/>
        <v>#NAME?</v>
      </c>
      <c r="M19" s="119" t="e">
        <f t="shared" si="2"/>
        <v>#NAME?</v>
      </c>
      <c r="N19" s="119" t="e">
        <f t="shared" si="1"/>
        <v>#NAME?</v>
      </c>
      <c r="O19" s="119" t="e">
        <f t="shared" si="1"/>
        <v>#NAME?</v>
      </c>
      <c r="P19" s="119" t="e">
        <f t="shared" si="1"/>
        <v>#NAME?</v>
      </c>
      <c r="Q19" s="119" t="e">
        <f t="shared" si="1"/>
        <v>#NAME?</v>
      </c>
      <c r="R19" s="119" t="e">
        <f t="shared" si="1"/>
        <v>#NAME?</v>
      </c>
      <c r="S19" s="119" t="e">
        <f t="shared" si="1"/>
        <v>#NAME?</v>
      </c>
      <c r="T19" s="119" t="e">
        <f t="shared" si="1"/>
        <v>#NAME?</v>
      </c>
    </row>
    <row r="20" spans="1:25" x14ac:dyDescent="0.2">
      <c r="A20" s="120" t="s">
        <v>136</v>
      </c>
      <c r="B20" s="121" t="e">
        <f>SUM(B17:B19)</f>
        <v>#NAME?</v>
      </c>
      <c r="C20" s="441">
        <f>SUM(C8,C14)</f>
        <v>3119.7</v>
      </c>
      <c r="D20" s="123" t="e">
        <f>B20/C20</f>
        <v>#NAME?</v>
      </c>
      <c r="E20" s="124"/>
      <c r="F20" s="124"/>
    </row>
    <row r="21" spans="1:25" x14ac:dyDescent="0.2"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</row>
    <row r="23" spans="1:25" x14ac:dyDescent="0.2">
      <c r="A23" s="111" t="s">
        <v>324</v>
      </c>
      <c r="B23" s="112"/>
      <c r="C23" s="113"/>
      <c r="D23" s="112"/>
    </row>
    <row r="24" spans="1:25" ht="33.75" x14ac:dyDescent="0.2">
      <c r="A24" s="115"/>
      <c r="B24" s="437" t="s">
        <v>325</v>
      </c>
      <c r="C24" s="438" t="s">
        <v>326</v>
      </c>
      <c r="D24" s="437" t="s">
        <v>130</v>
      </c>
      <c r="F24" s="114" t="s">
        <v>131</v>
      </c>
      <c r="G24" s="114" t="s">
        <v>132</v>
      </c>
      <c r="H24" s="116">
        <v>40057</v>
      </c>
      <c r="I24" s="116">
        <v>40087</v>
      </c>
      <c r="J24" s="116">
        <v>40118</v>
      </c>
      <c r="K24" s="116">
        <v>40148</v>
      </c>
      <c r="L24" s="116">
        <v>40179</v>
      </c>
      <c r="M24" s="116">
        <v>40210</v>
      </c>
      <c r="N24" s="116">
        <v>40238</v>
      </c>
      <c r="O24" s="116">
        <v>40269</v>
      </c>
      <c r="P24" s="116">
        <v>40299</v>
      </c>
      <c r="Q24" s="116">
        <v>40330</v>
      </c>
      <c r="R24" s="116">
        <v>40360</v>
      </c>
      <c r="S24" s="116">
        <v>40391</v>
      </c>
      <c r="T24" s="116">
        <v>40422</v>
      </c>
    </row>
    <row r="25" spans="1:25" x14ac:dyDescent="0.2">
      <c r="A25" s="117" t="s">
        <v>13</v>
      </c>
    </row>
    <row r="26" spans="1:25" x14ac:dyDescent="0.2">
      <c r="A26" s="114" t="s">
        <v>133</v>
      </c>
      <c r="B26" s="119" t="e">
        <f>F26</f>
        <v>#NAME?</v>
      </c>
      <c r="F26" s="119" t="e">
        <f>G26/13</f>
        <v>#NAME?</v>
      </c>
      <c r="G26" s="119" t="e">
        <f>SUM(H26:T26)</f>
        <v>#NAME?</v>
      </c>
      <c r="H26" s="442">
        <v>245.66100000000003</v>
      </c>
      <c r="I26" s="440">
        <v>207.1</v>
      </c>
      <c r="J26" s="440">
        <v>212.1</v>
      </c>
      <c r="K26" s="440">
        <v>236.5</v>
      </c>
      <c r="L26" s="440">
        <v>219</v>
      </c>
      <c r="M26" s="440">
        <v>278.5</v>
      </c>
      <c r="N26" s="440" t="e">
        <f>H5</f>
        <v>#NAME?</v>
      </c>
      <c r="O26" s="440" t="e">
        <f t="shared" ref="O26:T28" si="3">I5</f>
        <v>#NAME?</v>
      </c>
      <c r="P26" s="440" t="e">
        <f t="shared" si="3"/>
        <v>#NAME?</v>
      </c>
      <c r="Q26" s="440" t="e">
        <f t="shared" si="3"/>
        <v>#NAME?</v>
      </c>
      <c r="R26" s="440" t="e">
        <f t="shared" si="3"/>
        <v>#NAME?</v>
      </c>
      <c r="S26" s="440" t="e">
        <f t="shared" si="3"/>
        <v>#NAME?</v>
      </c>
      <c r="T26" s="440" t="e">
        <f t="shared" si="3"/>
        <v>#NAME?</v>
      </c>
    </row>
    <row r="27" spans="1:25" x14ac:dyDescent="0.2">
      <c r="A27" s="114" t="s">
        <v>134</v>
      </c>
      <c r="B27" s="119" t="e">
        <f>F27</f>
        <v>#NAME?</v>
      </c>
      <c r="F27" s="119" t="e">
        <f>G27/13</f>
        <v>#NAME?</v>
      </c>
      <c r="G27" s="119" t="e">
        <f>SUM(H27:T27)</f>
        <v>#NAME?</v>
      </c>
      <c r="H27" s="442">
        <v>75.022000000000006</v>
      </c>
      <c r="I27" s="440">
        <v>101.3</v>
      </c>
      <c r="J27" s="440">
        <v>65.5</v>
      </c>
      <c r="K27" s="440">
        <v>104.8</v>
      </c>
      <c r="L27" s="440">
        <v>90.3</v>
      </c>
      <c r="M27" s="440">
        <v>115.1</v>
      </c>
      <c r="N27" s="440" t="e">
        <f>H6</f>
        <v>#NAME?</v>
      </c>
      <c r="O27" s="440" t="e">
        <f t="shared" si="3"/>
        <v>#NAME?</v>
      </c>
      <c r="P27" s="440" t="e">
        <f t="shared" si="3"/>
        <v>#NAME?</v>
      </c>
      <c r="Q27" s="440" t="e">
        <f t="shared" si="3"/>
        <v>#NAME?</v>
      </c>
      <c r="R27" s="440" t="e">
        <f t="shared" si="3"/>
        <v>#NAME?</v>
      </c>
      <c r="S27" s="440" t="e">
        <f t="shared" si="3"/>
        <v>#NAME?</v>
      </c>
      <c r="T27" s="440" t="e">
        <f t="shared" si="3"/>
        <v>#NAME?</v>
      </c>
    </row>
    <row r="28" spans="1:25" x14ac:dyDescent="0.2">
      <c r="A28" s="114" t="s">
        <v>135</v>
      </c>
      <c r="B28" s="119" t="e">
        <f>F28</f>
        <v>#NAME?</v>
      </c>
      <c r="F28" s="119" t="e">
        <f>G28/13</f>
        <v>#NAME?</v>
      </c>
      <c r="G28" s="119" t="e">
        <f>SUM(H28:T28)</f>
        <v>#NAME?</v>
      </c>
      <c r="H28" s="442">
        <v>-284.80700000000002</v>
      </c>
      <c r="I28" s="440">
        <v>-248.5</v>
      </c>
      <c r="J28" s="440">
        <v>-230.1</v>
      </c>
      <c r="K28" s="440">
        <v>-226.5</v>
      </c>
      <c r="L28" s="440">
        <v>-177.4</v>
      </c>
      <c r="M28" s="440">
        <v>-240.5</v>
      </c>
      <c r="N28" s="440" t="e">
        <f>H7</f>
        <v>#NAME?</v>
      </c>
      <c r="O28" s="440" t="e">
        <f t="shared" si="3"/>
        <v>#NAME?</v>
      </c>
      <c r="P28" s="440" t="e">
        <f t="shared" si="3"/>
        <v>#NAME?</v>
      </c>
      <c r="Q28" s="440" t="e">
        <f t="shared" si="3"/>
        <v>#NAME?</v>
      </c>
      <c r="R28" s="440" t="e">
        <f t="shared" si="3"/>
        <v>#NAME?</v>
      </c>
      <c r="S28" s="440" t="e">
        <f t="shared" si="3"/>
        <v>#NAME?</v>
      </c>
      <c r="T28" s="440" t="e">
        <f t="shared" si="3"/>
        <v>#NAME?</v>
      </c>
    </row>
    <row r="29" spans="1:25" x14ac:dyDescent="0.2">
      <c r="A29" s="120" t="s">
        <v>136</v>
      </c>
      <c r="B29" s="121" t="e">
        <f>SUM(B26:B28)</f>
        <v>#NAME?</v>
      </c>
      <c r="C29" s="122">
        <v>1387.6</v>
      </c>
      <c r="D29" s="123" t="e">
        <f>B29/C29</f>
        <v>#NAME?</v>
      </c>
      <c r="E29" s="124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</row>
    <row r="30" spans="1:25" x14ac:dyDescent="0.2">
      <c r="A30" s="117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</row>
    <row r="31" spans="1:25" x14ac:dyDescent="0.2">
      <c r="A31" s="117" t="s">
        <v>49</v>
      </c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</row>
    <row r="32" spans="1:25" x14ac:dyDescent="0.2">
      <c r="A32" s="114" t="s">
        <v>133</v>
      </c>
      <c r="B32" s="119" t="e">
        <f>F32</f>
        <v>#NAME?</v>
      </c>
      <c r="F32" s="119" t="e">
        <f>G32/13</f>
        <v>#NAME?</v>
      </c>
      <c r="G32" s="119" t="e">
        <f>SUM(H32:T32)</f>
        <v>#NAME?</v>
      </c>
      <c r="H32" s="442">
        <v>151.48782058672157</v>
      </c>
      <c r="I32" s="440">
        <v>148.12714501503967</v>
      </c>
      <c r="J32" s="440">
        <v>146.72185954650016</v>
      </c>
      <c r="K32" s="440">
        <v>155.96473707927987</v>
      </c>
      <c r="L32" s="440">
        <v>162.34056280922195</v>
      </c>
      <c r="M32" s="440">
        <v>158.67016099842235</v>
      </c>
      <c r="N32" s="440" t="e">
        <f>H11</f>
        <v>#NAME?</v>
      </c>
      <c r="O32" s="440" t="e">
        <f t="shared" ref="O32:T34" si="4">I11</f>
        <v>#NAME?</v>
      </c>
      <c r="P32" s="440" t="e">
        <f t="shared" si="4"/>
        <v>#NAME?</v>
      </c>
      <c r="Q32" s="440" t="e">
        <f t="shared" si="4"/>
        <v>#NAME?</v>
      </c>
      <c r="R32" s="440" t="e">
        <f t="shared" si="4"/>
        <v>#NAME?</v>
      </c>
      <c r="S32" s="440" t="e">
        <f t="shared" si="4"/>
        <v>#NAME?</v>
      </c>
      <c r="T32" s="440" t="e">
        <f t="shared" si="4"/>
        <v>#NAME?</v>
      </c>
    </row>
    <row r="33" spans="1:28" x14ac:dyDescent="0.2">
      <c r="A33" s="114" t="s">
        <v>134</v>
      </c>
      <c r="B33" s="119" t="e">
        <f>F33</f>
        <v>#NAME?</v>
      </c>
      <c r="F33" s="119" t="e">
        <f>G33/13</f>
        <v>#NAME?</v>
      </c>
      <c r="G33" s="119" t="e">
        <f>SUM(H33:T33)</f>
        <v>#NAME?</v>
      </c>
      <c r="H33" s="442">
        <f>197.878313512895+2.4</f>
        <v>200.27831351289501</v>
      </c>
      <c r="I33" s="440">
        <v>181.1</v>
      </c>
      <c r="J33" s="440">
        <v>183.2</v>
      </c>
      <c r="K33" s="440">
        <v>183.3</v>
      </c>
      <c r="L33" s="440">
        <v>161.69999999999999</v>
      </c>
      <c r="M33" s="440">
        <v>176</v>
      </c>
      <c r="N33" s="440" t="e">
        <f t="shared" ref="N33:N34" si="5">H12</f>
        <v>#NAME?</v>
      </c>
      <c r="O33" s="440" t="e">
        <f t="shared" si="4"/>
        <v>#NAME?</v>
      </c>
      <c r="P33" s="440" t="e">
        <f t="shared" si="4"/>
        <v>#NAME?</v>
      </c>
      <c r="Q33" s="440" t="e">
        <f t="shared" si="4"/>
        <v>#NAME?</v>
      </c>
      <c r="R33" s="440" t="e">
        <f t="shared" si="4"/>
        <v>#NAME?</v>
      </c>
      <c r="S33" s="440" t="e">
        <f t="shared" si="4"/>
        <v>#NAME?</v>
      </c>
      <c r="T33" s="440" t="e">
        <f t="shared" si="4"/>
        <v>#NAME?</v>
      </c>
    </row>
    <row r="34" spans="1:28" x14ac:dyDescent="0.2">
      <c r="A34" s="114" t="s">
        <v>135</v>
      </c>
      <c r="B34" s="119" t="e">
        <f>F34</f>
        <v>#NAME?</v>
      </c>
      <c r="F34" s="119" t="e">
        <f>G34/13</f>
        <v>#NAME?</v>
      </c>
      <c r="G34" s="119" t="e">
        <f>SUM(H34:T34)</f>
        <v>#NAME?</v>
      </c>
      <c r="H34" s="442">
        <f>-129.423995836907+0.7</f>
        <v>-128.72399583690702</v>
      </c>
      <c r="I34" s="440">
        <f>-81.8+0.4</f>
        <v>-81.399999999999991</v>
      </c>
      <c r="J34" s="440">
        <f>-84.1+0.3</f>
        <v>-83.8</v>
      </c>
      <c r="K34" s="440">
        <f>-76.8+1.3</f>
        <v>-75.5</v>
      </c>
      <c r="L34" s="440">
        <f>-76.9+1.2</f>
        <v>-75.7</v>
      </c>
      <c r="M34" s="440">
        <f>-81.6+1.2</f>
        <v>-80.399999999999991</v>
      </c>
      <c r="N34" s="440" t="e">
        <f t="shared" si="5"/>
        <v>#NAME?</v>
      </c>
      <c r="O34" s="440" t="e">
        <f t="shared" si="4"/>
        <v>#NAME?</v>
      </c>
      <c r="P34" s="440" t="e">
        <f t="shared" si="4"/>
        <v>#NAME?</v>
      </c>
      <c r="Q34" s="440" t="e">
        <f t="shared" si="4"/>
        <v>#NAME?</v>
      </c>
      <c r="R34" s="440" t="e">
        <f t="shared" si="4"/>
        <v>#NAME?</v>
      </c>
      <c r="S34" s="440" t="e">
        <f t="shared" si="4"/>
        <v>#NAME?</v>
      </c>
      <c r="T34" s="440" t="e">
        <f t="shared" si="4"/>
        <v>#NAME?</v>
      </c>
    </row>
    <row r="35" spans="1:28" x14ac:dyDescent="0.2">
      <c r="A35" s="120" t="s">
        <v>136</v>
      </c>
      <c r="B35" s="121" t="e">
        <f>SUM(B32:B34)</f>
        <v>#NAME?</v>
      </c>
      <c r="C35" s="122">
        <v>1544.1</v>
      </c>
      <c r="D35" s="123" t="e">
        <f>B35/C35</f>
        <v>#NAME?</v>
      </c>
      <c r="E35" s="124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</row>
    <row r="36" spans="1:28" x14ac:dyDescent="0.2"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</row>
    <row r="37" spans="1:28" x14ac:dyDescent="0.2">
      <c r="A37" s="117" t="s">
        <v>132</v>
      </c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</row>
    <row r="38" spans="1:28" x14ac:dyDescent="0.2">
      <c r="A38" s="114" t="s">
        <v>133</v>
      </c>
      <c r="B38" s="119" t="e">
        <f>SUM(B26,B32)</f>
        <v>#NAME?</v>
      </c>
      <c r="F38" s="119" t="e">
        <f>G38/13</f>
        <v>#NAME?</v>
      </c>
      <c r="G38" s="119" t="e">
        <f>SUM(H38:T38)</f>
        <v>#NAME?</v>
      </c>
      <c r="H38" s="119">
        <f t="shared" ref="H38:M40" si="6">H26+H32</f>
        <v>397.14882058672163</v>
      </c>
      <c r="I38" s="119">
        <f t="shared" si="6"/>
        <v>355.2271450150397</v>
      </c>
      <c r="J38" s="119">
        <f t="shared" si="6"/>
        <v>358.82185954650015</v>
      </c>
      <c r="K38" s="119">
        <f t="shared" si="6"/>
        <v>392.46473707927987</v>
      </c>
      <c r="L38" s="119">
        <f t="shared" si="6"/>
        <v>381.34056280922198</v>
      </c>
      <c r="M38" s="119">
        <f t="shared" si="6"/>
        <v>437.17016099842238</v>
      </c>
      <c r="N38" s="119" t="e">
        <f t="shared" ref="N38:T40" si="7">SUM(N32,N26)</f>
        <v>#NAME?</v>
      </c>
      <c r="O38" s="119" t="e">
        <f t="shared" si="7"/>
        <v>#NAME?</v>
      </c>
      <c r="P38" s="119" t="e">
        <f t="shared" si="7"/>
        <v>#NAME?</v>
      </c>
      <c r="Q38" s="119" t="e">
        <f t="shared" si="7"/>
        <v>#NAME?</v>
      </c>
      <c r="R38" s="119" t="e">
        <f t="shared" si="7"/>
        <v>#NAME?</v>
      </c>
      <c r="S38" s="119" t="e">
        <f t="shared" si="7"/>
        <v>#NAME?</v>
      </c>
      <c r="T38" s="119" t="e">
        <f t="shared" si="7"/>
        <v>#NAME?</v>
      </c>
    </row>
    <row r="39" spans="1:28" x14ac:dyDescent="0.2">
      <c r="A39" s="114" t="s">
        <v>134</v>
      </c>
      <c r="B39" s="119" t="e">
        <f>SUM(B27,B33)</f>
        <v>#NAME?</v>
      </c>
      <c r="F39" s="119" t="e">
        <f>G39/13</f>
        <v>#NAME?</v>
      </c>
      <c r="G39" s="119" t="e">
        <f>SUM(H39:T39)</f>
        <v>#NAME?</v>
      </c>
      <c r="H39" s="119">
        <f t="shared" si="6"/>
        <v>275.300313512895</v>
      </c>
      <c r="I39" s="119">
        <f t="shared" si="6"/>
        <v>282.39999999999998</v>
      </c>
      <c r="J39" s="119">
        <f t="shared" si="6"/>
        <v>248.7</v>
      </c>
      <c r="K39" s="119">
        <f t="shared" si="6"/>
        <v>288.10000000000002</v>
      </c>
      <c r="L39" s="119">
        <f t="shared" si="6"/>
        <v>252</v>
      </c>
      <c r="M39" s="119">
        <f t="shared" si="6"/>
        <v>291.10000000000002</v>
      </c>
      <c r="N39" s="119" t="e">
        <f t="shared" si="7"/>
        <v>#NAME?</v>
      </c>
      <c r="O39" s="119" t="e">
        <f t="shared" si="7"/>
        <v>#NAME?</v>
      </c>
      <c r="P39" s="119" t="e">
        <f t="shared" si="7"/>
        <v>#NAME?</v>
      </c>
      <c r="Q39" s="119" t="e">
        <f t="shared" si="7"/>
        <v>#NAME?</v>
      </c>
      <c r="R39" s="119" t="e">
        <f t="shared" si="7"/>
        <v>#NAME?</v>
      </c>
      <c r="S39" s="119" t="e">
        <f t="shared" si="7"/>
        <v>#NAME?</v>
      </c>
      <c r="T39" s="119" t="e">
        <f t="shared" si="7"/>
        <v>#NAME?</v>
      </c>
    </row>
    <row r="40" spans="1:28" x14ac:dyDescent="0.2">
      <c r="A40" s="114" t="s">
        <v>135</v>
      </c>
      <c r="B40" s="119" t="e">
        <f>SUM(B28,B34)</f>
        <v>#NAME?</v>
      </c>
      <c r="F40" s="119" t="e">
        <f>G40/13</f>
        <v>#NAME?</v>
      </c>
      <c r="G40" s="119" t="e">
        <f>SUM(H40:T40)</f>
        <v>#NAME?</v>
      </c>
      <c r="H40" s="119">
        <f t="shared" si="6"/>
        <v>-413.53099583690704</v>
      </c>
      <c r="I40" s="119">
        <f t="shared" si="6"/>
        <v>-329.9</v>
      </c>
      <c r="J40" s="119">
        <f t="shared" si="6"/>
        <v>-313.89999999999998</v>
      </c>
      <c r="K40" s="119">
        <f t="shared" si="6"/>
        <v>-302</v>
      </c>
      <c r="L40" s="119">
        <f t="shared" si="6"/>
        <v>-253.10000000000002</v>
      </c>
      <c r="M40" s="119">
        <f t="shared" si="6"/>
        <v>-320.89999999999998</v>
      </c>
      <c r="N40" s="119" t="e">
        <f t="shared" si="7"/>
        <v>#NAME?</v>
      </c>
      <c r="O40" s="119" t="e">
        <f t="shared" si="7"/>
        <v>#NAME?</v>
      </c>
      <c r="P40" s="119" t="e">
        <f t="shared" si="7"/>
        <v>#NAME?</v>
      </c>
      <c r="Q40" s="119" t="e">
        <f t="shared" si="7"/>
        <v>#NAME?</v>
      </c>
      <c r="R40" s="119" t="e">
        <f t="shared" si="7"/>
        <v>#NAME?</v>
      </c>
      <c r="S40" s="119" t="e">
        <f t="shared" si="7"/>
        <v>#NAME?</v>
      </c>
      <c r="T40" s="119" t="e">
        <f t="shared" si="7"/>
        <v>#NAME?</v>
      </c>
    </row>
    <row r="41" spans="1:28" x14ac:dyDescent="0.2">
      <c r="A41" s="120" t="s">
        <v>136</v>
      </c>
      <c r="B41" s="121" t="e">
        <f>SUM(B38:B40)</f>
        <v>#NAME?</v>
      </c>
      <c r="C41" s="122">
        <f>SUM(C29,C35)</f>
        <v>2931.7</v>
      </c>
      <c r="D41" s="123" t="e">
        <f>B41/C41</f>
        <v>#NAME?</v>
      </c>
      <c r="E41" s="124"/>
      <c r="F41" s="124"/>
    </row>
    <row r="42" spans="1:28" x14ac:dyDescent="0.2">
      <c r="H42" s="119"/>
      <c r="I42" s="119"/>
      <c r="J42" s="119"/>
      <c r="K42" s="119"/>
      <c r="L42" s="119"/>
      <c r="M42" s="119"/>
    </row>
    <row r="44" spans="1:28" x14ac:dyDescent="0.2">
      <c r="A44" s="111" t="s">
        <v>327</v>
      </c>
      <c r="B44" s="112"/>
      <c r="C44" s="113"/>
      <c r="D44" s="112"/>
    </row>
    <row r="45" spans="1:28" ht="33.75" x14ac:dyDescent="0.2">
      <c r="A45" s="115"/>
      <c r="B45" s="437" t="s">
        <v>328</v>
      </c>
      <c r="C45" s="438" t="s">
        <v>329</v>
      </c>
      <c r="D45" s="437" t="s">
        <v>130</v>
      </c>
      <c r="F45" s="114" t="s">
        <v>131</v>
      </c>
      <c r="G45" s="114" t="s">
        <v>132</v>
      </c>
      <c r="H45" s="116">
        <v>39873</v>
      </c>
      <c r="I45" s="116">
        <v>39904</v>
      </c>
      <c r="J45" s="116">
        <v>39934</v>
      </c>
      <c r="K45" s="116">
        <v>39965</v>
      </c>
      <c r="L45" s="116">
        <v>39995</v>
      </c>
      <c r="M45" s="116">
        <v>40026</v>
      </c>
      <c r="N45" s="116">
        <v>40057</v>
      </c>
      <c r="O45" s="116">
        <v>40087</v>
      </c>
      <c r="P45" s="116">
        <v>40118</v>
      </c>
      <c r="Q45" s="116">
        <v>40148</v>
      </c>
      <c r="R45" s="116">
        <v>40179</v>
      </c>
      <c r="S45" s="116">
        <v>40210</v>
      </c>
      <c r="T45" s="116">
        <v>40238</v>
      </c>
    </row>
    <row r="46" spans="1:28" x14ac:dyDescent="0.2">
      <c r="A46" s="117" t="s">
        <v>13</v>
      </c>
    </row>
    <row r="47" spans="1:28" x14ac:dyDescent="0.2">
      <c r="A47" s="114" t="s">
        <v>133</v>
      </c>
      <c r="B47" s="119" t="e">
        <f>F47</f>
        <v>#NAME?</v>
      </c>
      <c r="F47" s="119" t="e">
        <f>G47/13</f>
        <v>#NAME?</v>
      </c>
      <c r="G47" s="119" t="e">
        <f>SUM(H47:T47)</f>
        <v>#NAME?</v>
      </c>
      <c r="H47" s="442">
        <v>539.29999999999995</v>
      </c>
      <c r="I47" s="442">
        <v>464.6</v>
      </c>
      <c r="J47" s="442">
        <v>380.5</v>
      </c>
      <c r="K47" s="442">
        <v>334.5</v>
      </c>
      <c r="L47" s="442">
        <v>368.2</v>
      </c>
      <c r="M47" s="442">
        <v>338.4</v>
      </c>
      <c r="N47" s="442">
        <v>245.66100000000003</v>
      </c>
      <c r="O47" s="440">
        <f>I26</f>
        <v>207.1</v>
      </c>
      <c r="P47" s="440">
        <f t="shared" ref="P47:T49" si="8">J26</f>
        <v>212.1</v>
      </c>
      <c r="Q47" s="440">
        <f t="shared" si="8"/>
        <v>236.5</v>
      </c>
      <c r="R47" s="440">
        <f t="shared" si="8"/>
        <v>219</v>
      </c>
      <c r="S47" s="440">
        <f t="shared" si="8"/>
        <v>278.5</v>
      </c>
      <c r="T47" s="440" t="e">
        <f t="shared" si="8"/>
        <v>#NAME?</v>
      </c>
      <c r="V47" s="443"/>
      <c r="W47" s="444" t="s">
        <v>330</v>
      </c>
      <c r="X47" s="444" t="s">
        <v>331</v>
      </c>
      <c r="Y47" s="444" t="s">
        <v>332</v>
      </c>
      <c r="Z47" s="444" t="s">
        <v>333</v>
      </c>
      <c r="AA47" s="444" t="s">
        <v>334</v>
      </c>
      <c r="AB47" s="444" t="s">
        <v>335</v>
      </c>
    </row>
    <row r="48" spans="1:28" x14ac:dyDescent="0.2">
      <c r="A48" s="114" t="s">
        <v>134</v>
      </c>
      <c r="B48" s="119" t="e">
        <f>F48</f>
        <v>#NAME?</v>
      </c>
      <c r="F48" s="119" t="e">
        <f>G48/13</f>
        <v>#NAME?</v>
      </c>
      <c r="G48" s="119" t="e">
        <f>SUM(H48:T48)</f>
        <v>#NAME?</v>
      </c>
      <c r="H48" s="442">
        <v>82.9</v>
      </c>
      <c r="I48" s="442">
        <v>114.9</v>
      </c>
      <c r="J48" s="442">
        <v>149.19999999999999</v>
      </c>
      <c r="K48" s="442">
        <v>109.2</v>
      </c>
      <c r="L48" s="442">
        <v>80.2</v>
      </c>
      <c r="M48" s="442">
        <v>102.9</v>
      </c>
      <c r="N48" s="442">
        <v>75.022000000000006</v>
      </c>
      <c r="O48" s="440">
        <f t="shared" ref="O48:O49" si="9">I27</f>
        <v>101.3</v>
      </c>
      <c r="P48" s="440">
        <f t="shared" si="8"/>
        <v>65.5</v>
      </c>
      <c r="Q48" s="440">
        <f t="shared" si="8"/>
        <v>104.8</v>
      </c>
      <c r="R48" s="440">
        <f t="shared" si="8"/>
        <v>90.3</v>
      </c>
      <c r="S48" s="440">
        <f t="shared" si="8"/>
        <v>115.1</v>
      </c>
      <c r="T48" s="440" t="e">
        <f t="shared" si="8"/>
        <v>#NAME?</v>
      </c>
      <c r="V48" s="445" t="s">
        <v>49</v>
      </c>
      <c r="W48" s="446">
        <f>D119</f>
        <v>0.17880437947702524</v>
      </c>
      <c r="X48" s="446">
        <f>+D77</f>
        <v>0.18507159234605411</v>
      </c>
      <c r="Y48" s="446">
        <f>D77</f>
        <v>0.18507159234605411</v>
      </c>
      <c r="Z48" s="446" t="e">
        <f>+D56</f>
        <v>#NAME?</v>
      </c>
      <c r="AA48" s="446" t="e">
        <f>D35</f>
        <v>#NAME?</v>
      </c>
      <c r="AB48" s="446" t="e">
        <f>D14</f>
        <v>#NAME?</v>
      </c>
    </row>
    <row r="49" spans="1:28" x14ac:dyDescent="0.2">
      <c r="A49" s="114" t="s">
        <v>135</v>
      </c>
      <c r="B49" s="119" t="e">
        <f>F49</f>
        <v>#NAME?</v>
      </c>
      <c r="F49" s="119" t="e">
        <f>G49/13</f>
        <v>#NAME?</v>
      </c>
      <c r="G49" s="119" t="e">
        <f>SUM(H49:T49)</f>
        <v>#NAME?</v>
      </c>
      <c r="H49" s="442">
        <v>-385.6</v>
      </c>
      <c r="I49" s="442">
        <v>-209</v>
      </c>
      <c r="J49" s="442">
        <v>-223.6</v>
      </c>
      <c r="K49" s="442">
        <v>-228.7</v>
      </c>
      <c r="L49" s="442">
        <v>-252.9</v>
      </c>
      <c r="M49" s="442">
        <v>-257.89999999999998</v>
      </c>
      <c r="N49" s="442">
        <v>-284.80700000000002</v>
      </c>
      <c r="O49" s="440">
        <f t="shared" si="9"/>
        <v>-248.5</v>
      </c>
      <c r="P49" s="440">
        <f t="shared" si="8"/>
        <v>-230.1</v>
      </c>
      <c r="Q49" s="440">
        <f t="shared" si="8"/>
        <v>-226.5</v>
      </c>
      <c r="R49" s="440">
        <f t="shared" si="8"/>
        <v>-177.4</v>
      </c>
      <c r="S49" s="440">
        <f t="shared" si="8"/>
        <v>-240.5</v>
      </c>
      <c r="T49" s="440" t="e">
        <f t="shared" si="8"/>
        <v>#NAME?</v>
      </c>
      <c r="V49" s="445" t="s">
        <v>13</v>
      </c>
      <c r="W49" s="446">
        <f>+D113</f>
        <v>8.5534529368395187E-2</v>
      </c>
      <c r="X49" s="446">
        <f>+D71</f>
        <v>0.14978603367348425</v>
      </c>
      <c r="Y49" s="446">
        <f>D71</f>
        <v>0.14978603367348425</v>
      </c>
      <c r="Z49" s="446" t="e">
        <f>+D50</f>
        <v>#NAME?</v>
      </c>
      <c r="AA49" s="446" t="e">
        <f>D29</f>
        <v>#NAME?</v>
      </c>
      <c r="AB49" s="446" t="e">
        <f>D8</f>
        <v>#NAME?</v>
      </c>
    </row>
    <row r="50" spans="1:28" x14ac:dyDescent="0.2">
      <c r="A50" s="120" t="s">
        <v>136</v>
      </c>
      <c r="B50" s="121" t="e">
        <f>SUM(B47:B49)</f>
        <v>#NAME?</v>
      </c>
      <c r="C50" s="122">
        <v>1442.1</v>
      </c>
      <c r="D50" s="123" t="e">
        <f>B50/C50</f>
        <v>#NAME?</v>
      </c>
      <c r="E50" s="124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V50" s="447" t="s">
        <v>336</v>
      </c>
      <c r="W50" s="448">
        <f>D125</f>
        <v>0.12493660081983655</v>
      </c>
      <c r="X50" s="448">
        <f>+D83</f>
        <v>0.16864820777333761</v>
      </c>
      <c r="Y50" s="448">
        <f>D83</f>
        <v>0.16864820777333761</v>
      </c>
      <c r="Z50" s="448" t="e">
        <f>+D62</f>
        <v>#NAME?</v>
      </c>
      <c r="AA50" s="448" t="e">
        <f>D41</f>
        <v>#NAME?</v>
      </c>
      <c r="AB50" s="448" t="e">
        <f>D20</f>
        <v>#NAME?</v>
      </c>
    </row>
    <row r="51" spans="1:28" x14ac:dyDescent="0.2">
      <c r="A51" s="117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</row>
    <row r="52" spans="1:28" x14ac:dyDescent="0.2">
      <c r="A52" s="117" t="s">
        <v>49</v>
      </c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</row>
    <row r="53" spans="1:28" x14ac:dyDescent="0.2">
      <c r="A53" s="114" t="s">
        <v>133</v>
      </c>
      <c r="B53" s="119" t="e">
        <f>F53</f>
        <v>#NAME?</v>
      </c>
      <c r="F53" s="119" t="e">
        <f>G53/13</f>
        <v>#NAME?</v>
      </c>
      <c r="G53" s="119" t="e">
        <f>SUM(H53:T53)</f>
        <v>#NAME?</v>
      </c>
      <c r="H53" s="442">
        <f>198.762049348759-0.6</f>
        <v>198.16204934875901</v>
      </c>
      <c r="I53" s="442">
        <v>192.3</v>
      </c>
      <c r="J53" s="442">
        <v>175</v>
      </c>
      <c r="K53" s="442">
        <v>166.4</v>
      </c>
      <c r="L53" s="442">
        <v>170.2</v>
      </c>
      <c r="M53" s="442">
        <v>155.9</v>
      </c>
      <c r="N53" s="442">
        <v>151.48782058672157</v>
      </c>
      <c r="O53" s="440">
        <f>I32</f>
        <v>148.12714501503967</v>
      </c>
      <c r="P53" s="440">
        <f t="shared" ref="P53:T55" si="10">J32</f>
        <v>146.72185954650016</v>
      </c>
      <c r="Q53" s="440">
        <f t="shared" si="10"/>
        <v>155.96473707927987</v>
      </c>
      <c r="R53" s="440">
        <f t="shared" si="10"/>
        <v>162.34056280922195</v>
      </c>
      <c r="S53" s="440">
        <f t="shared" si="10"/>
        <v>158.67016099842235</v>
      </c>
      <c r="T53" s="440" t="e">
        <f t="shared" si="10"/>
        <v>#NAME?</v>
      </c>
    </row>
    <row r="54" spans="1:28" x14ac:dyDescent="0.2">
      <c r="A54" s="114" t="s">
        <v>134</v>
      </c>
      <c r="B54" s="119" t="e">
        <f>F54</f>
        <v>#NAME?</v>
      </c>
      <c r="F54" s="119" t="e">
        <f>G54/13</f>
        <v>#NAME?</v>
      </c>
      <c r="G54" s="119" t="e">
        <f>SUM(H54:T54)</f>
        <v>#NAME?</v>
      </c>
      <c r="H54" s="442">
        <f>297.360169613621+4</f>
        <v>301.360169613621</v>
      </c>
      <c r="I54" s="442">
        <v>280.7</v>
      </c>
      <c r="J54" s="442">
        <v>262.8</v>
      </c>
      <c r="K54" s="442">
        <v>264.39999999999998</v>
      </c>
      <c r="L54" s="442">
        <v>259.8</v>
      </c>
      <c r="M54" s="442">
        <v>263.8</v>
      </c>
      <c r="N54" s="442">
        <f>197.878313512895+2.4</f>
        <v>200.27831351289501</v>
      </c>
      <c r="O54" s="440">
        <f t="shared" ref="O54:O55" si="11">I33</f>
        <v>181.1</v>
      </c>
      <c r="P54" s="440">
        <f t="shared" si="10"/>
        <v>183.2</v>
      </c>
      <c r="Q54" s="440">
        <f t="shared" si="10"/>
        <v>183.3</v>
      </c>
      <c r="R54" s="440">
        <f t="shared" si="10"/>
        <v>161.69999999999999</v>
      </c>
      <c r="S54" s="440">
        <f t="shared" si="10"/>
        <v>176</v>
      </c>
      <c r="T54" s="440" t="e">
        <f t="shared" si="10"/>
        <v>#NAME?</v>
      </c>
    </row>
    <row r="55" spans="1:28" x14ac:dyDescent="0.2">
      <c r="A55" s="114" t="s">
        <v>135</v>
      </c>
      <c r="B55" s="119" t="e">
        <f>F55</f>
        <v>#NAME?</v>
      </c>
      <c r="F55" s="119" t="e">
        <f>G55/13</f>
        <v>#NAME?</v>
      </c>
      <c r="G55" s="119" t="e">
        <f>SUM(H55:T55)</f>
        <v>#NAME?</v>
      </c>
      <c r="H55" s="442">
        <f>-189.131194499018+0.7</f>
        <v>-188.43119449901801</v>
      </c>
      <c r="I55" s="442">
        <v>-130.19999999999999</v>
      </c>
      <c r="J55" s="442">
        <v>-112.3</v>
      </c>
      <c r="K55" s="442">
        <v>-118.1</v>
      </c>
      <c r="L55" s="442">
        <v>-114</v>
      </c>
      <c r="M55" s="442">
        <v>-110.7</v>
      </c>
      <c r="N55" s="442">
        <f>-129.423995836907+0.7</f>
        <v>-128.72399583690702</v>
      </c>
      <c r="O55" s="440">
        <f t="shared" si="11"/>
        <v>-81.399999999999991</v>
      </c>
      <c r="P55" s="440">
        <f t="shared" si="10"/>
        <v>-83.8</v>
      </c>
      <c r="Q55" s="440">
        <f t="shared" si="10"/>
        <v>-75.5</v>
      </c>
      <c r="R55" s="440">
        <f t="shared" si="10"/>
        <v>-75.7</v>
      </c>
      <c r="S55" s="440">
        <f t="shared" si="10"/>
        <v>-80.399999999999991</v>
      </c>
      <c r="T55" s="440" t="e">
        <f t="shared" si="10"/>
        <v>#NAME?</v>
      </c>
    </row>
    <row r="56" spans="1:28" x14ac:dyDescent="0.2">
      <c r="A56" s="120" t="s">
        <v>136</v>
      </c>
      <c r="B56" s="121" t="e">
        <f>SUM(B53:B55)</f>
        <v>#NAME?</v>
      </c>
      <c r="C56" s="122">
        <v>1505.3</v>
      </c>
      <c r="D56" s="123" t="e">
        <f>B56/C56</f>
        <v>#NAME?</v>
      </c>
      <c r="E56" s="124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</row>
    <row r="57" spans="1:28" x14ac:dyDescent="0.2"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</row>
    <row r="58" spans="1:28" x14ac:dyDescent="0.2">
      <c r="A58" s="117" t="s">
        <v>132</v>
      </c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</row>
    <row r="59" spans="1:28" x14ac:dyDescent="0.2">
      <c r="A59" s="114" t="s">
        <v>133</v>
      </c>
      <c r="B59" s="119" t="e">
        <f>SUM(B47,B53)</f>
        <v>#NAME?</v>
      </c>
      <c r="F59" s="119" t="e">
        <f>G59/13</f>
        <v>#NAME?</v>
      </c>
      <c r="G59" s="119" t="e">
        <f>SUM(H59:T59)</f>
        <v>#NAME?</v>
      </c>
      <c r="H59" s="119">
        <f t="shared" ref="H59:T61" si="12">H47+H53</f>
        <v>737.46204934875891</v>
      </c>
      <c r="I59" s="119">
        <f t="shared" si="12"/>
        <v>656.90000000000009</v>
      </c>
      <c r="J59" s="119">
        <f t="shared" si="12"/>
        <v>555.5</v>
      </c>
      <c r="K59" s="119">
        <f t="shared" si="12"/>
        <v>500.9</v>
      </c>
      <c r="L59" s="119">
        <f t="shared" si="12"/>
        <v>538.4</v>
      </c>
      <c r="M59" s="119">
        <f t="shared" si="12"/>
        <v>494.29999999999995</v>
      </c>
      <c r="N59" s="119">
        <f t="shared" si="12"/>
        <v>397.14882058672163</v>
      </c>
      <c r="O59" s="119">
        <f t="shared" si="12"/>
        <v>355.2271450150397</v>
      </c>
      <c r="P59" s="119">
        <f t="shared" si="12"/>
        <v>358.82185954650015</v>
      </c>
      <c r="Q59" s="119">
        <f t="shared" si="12"/>
        <v>392.46473707927987</v>
      </c>
      <c r="R59" s="119">
        <f t="shared" si="12"/>
        <v>381.34056280922198</v>
      </c>
      <c r="S59" s="119">
        <f t="shared" si="12"/>
        <v>437.17016099842238</v>
      </c>
      <c r="T59" s="119" t="e">
        <f t="shared" si="12"/>
        <v>#NAME?</v>
      </c>
    </row>
    <row r="60" spans="1:28" x14ac:dyDescent="0.2">
      <c r="A60" s="114" t="s">
        <v>134</v>
      </c>
      <c r="B60" s="119" t="e">
        <f>SUM(B48,B54)</f>
        <v>#NAME?</v>
      </c>
      <c r="F60" s="119" t="e">
        <f>G60/13</f>
        <v>#NAME?</v>
      </c>
      <c r="G60" s="119" t="e">
        <f>SUM(H60:T60)</f>
        <v>#NAME?</v>
      </c>
      <c r="H60" s="119">
        <f t="shared" si="12"/>
        <v>384.26016961362097</v>
      </c>
      <c r="I60" s="119">
        <f t="shared" si="12"/>
        <v>395.6</v>
      </c>
      <c r="J60" s="119">
        <f t="shared" si="12"/>
        <v>412</v>
      </c>
      <c r="K60" s="119">
        <f t="shared" si="12"/>
        <v>373.59999999999997</v>
      </c>
      <c r="L60" s="119">
        <f t="shared" si="12"/>
        <v>340</v>
      </c>
      <c r="M60" s="119">
        <f t="shared" si="12"/>
        <v>366.70000000000005</v>
      </c>
      <c r="N60" s="119">
        <f t="shared" si="12"/>
        <v>275.300313512895</v>
      </c>
      <c r="O60" s="119">
        <f t="shared" si="12"/>
        <v>282.39999999999998</v>
      </c>
      <c r="P60" s="119">
        <f t="shared" si="12"/>
        <v>248.7</v>
      </c>
      <c r="Q60" s="119">
        <f t="shared" si="12"/>
        <v>288.10000000000002</v>
      </c>
      <c r="R60" s="119">
        <f t="shared" si="12"/>
        <v>252</v>
      </c>
      <c r="S60" s="119">
        <f t="shared" si="12"/>
        <v>291.10000000000002</v>
      </c>
      <c r="T60" s="119" t="e">
        <f t="shared" si="12"/>
        <v>#NAME?</v>
      </c>
    </row>
    <row r="61" spans="1:28" x14ac:dyDescent="0.2">
      <c r="A61" s="114" t="s">
        <v>135</v>
      </c>
      <c r="B61" s="119" t="e">
        <f>SUM(B49,B55)</f>
        <v>#NAME?</v>
      </c>
      <c r="F61" s="119" t="e">
        <f>G61/13</f>
        <v>#NAME?</v>
      </c>
      <c r="G61" s="119" t="e">
        <f>SUM(H61:T61)</f>
        <v>#NAME?</v>
      </c>
      <c r="H61" s="119">
        <f t="shared" si="12"/>
        <v>-574.03119449901806</v>
      </c>
      <c r="I61" s="119">
        <f t="shared" si="12"/>
        <v>-339.2</v>
      </c>
      <c r="J61" s="119">
        <f t="shared" si="12"/>
        <v>-335.9</v>
      </c>
      <c r="K61" s="119">
        <f t="shared" si="12"/>
        <v>-346.79999999999995</v>
      </c>
      <c r="L61" s="119">
        <f t="shared" si="12"/>
        <v>-366.9</v>
      </c>
      <c r="M61" s="119">
        <f t="shared" si="12"/>
        <v>-368.59999999999997</v>
      </c>
      <c r="N61" s="119">
        <f t="shared" si="12"/>
        <v>-413.53099583690704</v>
      </c>
      <c r="O61" s="119">
        <f t="shared" si="12"/>
        <v>-329.9</v>
      </c>
      <c r="P61" s="119">
        <f t="shared" si="12"/>
        <v>-313.89999999999998</v>
      </c>
      <c r="Q61" s="119">
        <f t="shared" si="12"/>
        <v>-302</v>
      </c>
      <c r="R61" s="119">
        <f t="shared" si="12"/>
        <v>-253.10000000000002</v>
      </c>
      <c r="S61" s="119">
        <f t="shared" si="12"/>
        <v>-320.89999999999998</v>
      </c>
      <c r="T61" s="119" t="e">
        <f t="shared" si="12"/>
        <v>#NAME?</v>
      </c>
    </row>
    <row r="62" spans="1:28" x14ac:dyDescent="0.2">
      <c r="A62" s="120" t="s">
        <v>136</v>
      </c>
      <c r="B62" s="121" t="e">
        <f>SUM(B59:B61)</f>
        <v>#NAME?</v>
      </c>
      <c r="C62" s="122">
        <f>SUM(C50,C56)</f>
        <v>2947.3999999999996</v>
      </c>
      <c r="D62" s="123" t="e">
        <f>B62/C62</f>
        <v>#NAME?</v>
      </c>
      <c r="E62" s="124"/>
      <c r="F62" s="124"/>
    </row>
    <row r="65" spans="1:20" x14ac:dyDescent="0.2">
      <c r="A65" s="111" t="s">
        <v>337</v>
      </c>
      <c r="B65" s="112"/>
      <c r="C65" s="113"/>
      <c r="D65" s="112"/>
    </row>
    <row r="66" spans="1:20" ht="33.75" x14ac:dyDescent="0.2">
      <c r="A66" s="115"/>
      <c r="B66" s="115" t="s">
        <v>338</v>
      </c>
      <c r="C66" s="125" t="s">
        <v>339</v>
      </c>
      <c r="D66" s="115" t="s">
        <v>130</v>
      </c>
      <c r="F66" s="114" t="s">
        <v>131</v>
      </c>
      <c r="G66" s="114" t="s">
        <v>132</v>
      </c>
      <c r="H66" s="116">
        <v>39692</v>
      </c>
      <c r="I66" s="116">
        <v>39722</v>
      </c>
      <c r="J66" s="116">
        <v>39753</v>
      </c>
      <c r="K66" s="116">
        <v>39783</v>
      </c>
      <c r="L66" s="116">
        <v>39814</v>
      </c>
      <c r="M66" s="116">
        <v>39845</v>
      </c>
      <c r="N66" s="116">
        <v>39873</v>
      </c>
      <c r="O66" s="116">
        <v>39904</v>
      </c>
      <c r="P66" s="116">
        <v>39934</v>
      </c>
      <c r="Q66" s="116">
        <v>39965</v>
      </c>
      <c r="R66" s="116">
        <v>39995</v>
      </c>
      <c r="S66" s="116">
        <v>40026</v>
      </c>
      <c r="T66" s="116">
        <v>40057</v>
      </c>
    </row>
    <row r="67" spans="1:20" x14ac:dyDescent="0.2">
      <c r="A67" s="117" t="s">
        <v>13</v>
      </c>
    </row>
    <row r="68" spans="1:20" x14ac:dyDescent="0.2">
      <c r="A68" s="114" t="s">
        <v>133</v>
      </c>
      <c r="B68" s="119">
        <f>F68</f>
        <v>468.72963076923077</v>
      </c>
      <c r="F68" s="119">
        <f>G68/13</f>
        <v>468.72963076923077</v>
      </c>
      <c r="G68" s="119">
        <f>SUM(H68:T68)</f>
        <v>6093.4852000000001</v>
      </c>
      <c r="H68" s="442">
        <v>483.6</v>
      </c>
      <c r="I68" s="442">
        <v>524.29999999999995</v>
      </c>
      <c r="J68" s="442">
        <f>640489.7/1000</f>
        <v>640.48969999999997</v>
      </c>
      <c r="K68" s="442">
        <f>587737.5/1000</f>
        <v>587.73749999999995</v>
      </c>
      <c r="L68" s="442">
        <v>588.62699999999995</v>
      </c>
      <c r="M68" s="442">
        <v>597.57000000000005</v>
      </c>
      <c r="N68" s="442">
        <f>H47</f>
        <v>539.29999999999995</v>
      </c>
      <c r="O68" s="442">
        <f t="shared" ref="O68:T70" si="13">I47</f>
        <v>464.6</v>
      </c>
      <c r="P68" s="442">
        <f t="shared" si="13"/>
        <v>380.5</v>
      </c>
      <c r="Q68" s="442">
        <f t="shared" si="13"/>
        <v>334.5</v>
      </c>
      <c r="R68" s="442">
        <f t="shared" si="13"/>
        <v>368.2</v>
      </c>
      <c r="S68" s="442">
        <f t="shared" si="13"/>
        <v>338.4</v>
      </c>
      <c r="T68" s="442">
        <f t="shared" si="13"/>
        <v>245.66100000000003</v>
      </c>
    </row>
    <row r="69" spans="1:20" x14ac:dyDescent="0.2">
      <c r="A69" s="114" t="s">
        <v>134</v>
      </c>
      <c r="B69" s="119">
        <f>F69</f>
        <v>106.70650000000001</v>
      </c>
      <c r="F69" s="119">
        <f>G69/13</f>
        <v>106.70650000000001</v>
      </c>
      <c r="G69" s="119">
        <f>SUM(H69:T69)</f>
        <v>1387.1845000000001</v>
      </c>
      <c r="H69" s="442">
        <v>162.19999999999999</v>
      </c>
      <c r="I69" s="442">
        <v>159.30000000000001</v>
      </c>
      <c r="J69" s="442">
        <f>144218.5/1000</f>
        <v>144.21850000000001</v>
      </c>
      <c r="K69" s="442">
        <f>81719/1000</f>
        <v>81.718999999999994</v>
      </c>
      <c r="L69" s="442">
        <v>91.38</v>
      </c>
      <c r="M69" s="442">
        <v>34.045000000000002</v>
      </c>
      <c r="N69" s="442">
        <f t="shared" ref="N69:N70" si="14">H48</f>
        <v>82.9</v>
      </c>
      <c r="O69" s="442">
        <f t="shared" si="13"/>
        <v>114.9</v>
      </c>
      <c r="P69" s="442">
        <f t="shared" si="13"/>
        <v>149.19999999999999</v>
      </c>
      <c r="Q69" s="442">
        <f t="shared" si="13"/>
        <v>109.2</v>
      </c>
      <c r="R69" s="442">
        <f t="shared" si="13"/>
        <v>80.2</v>
      </c>
      <c r="S69" s="442">
        <f t="shared" si="13"/>
        <v>102.9</v>
      </c>
      <c r="T69" s="442">
        <f t="shared" si="13"/>
        <v>75.022000000000006</v>
      </c>
    </row>
    <row r="70" spans="1:20" x14ac:dyDescent="0.2">
      <c r="A70" s="114" t="s">
        <v>135</v>
      </c>
      <c r="B70" s="119">
        <f>F70</f>
        <v>-337.0816153846153</v>
      </c>
      <c r="F70" s="119">
        <f>G70/13</f>
        <v>-337.0816153846153</v>
      </c>
      <c r="G70" s="119">
        <f>SUM(H70:T70)</f>
        <v>-4382.0609999999988</v>
      </c>
      <c r="H70" s="442">
        <v>-571.9</v>
      </c>
      <c r="I70" s="442">
        <v>-499.7</v>
      </c>
      <c r="J70" s="442">
        <f>-434720.3/1000</f>
        <v>-434.72030000000001</v>
      </c>
      <c r="K70" s="442">
        <f>-356664.7/1000</f>
        <v>-356.66470000000004</v>
      </c>
      <c r="L70" s="442">
        <v>-356.33100000000002</v>
      </c>
      <c r="M70" s="442">
        <v>-320.238</v>
      </c>
      <c r="N70" s="442">
        <f t="shared" si="14"/>
        <v>-385.6</v>
      </c>
      <c r="O70" s="442">
        <f t="shared" si="13"/>
        <v>-209</v>
      </c>
      <c r="P70" s="442">
        <f t="shared" si="13"/>
        <v>-223.6</v>
      </c>
      <c r="Q70" s="442">
        <f t="shared" si="13"/>
        <v>-228.7</v>
      </c>
      <c r="R70" s="442">
        <f t="shared" si="13"/>
        <v>-252.9</v>
      </c>
      <c r="S70" s="442">
        <f t="shared" si="13"/>
        <v>-257.89999999999998</v>
      </c>
      <c r="T70" s="442">
        <f t="shared" si="13"/>
        <v>-284.80700000000002</v>
      </c>
    </row>
    <row r="71" spans="1:20" x14ac:dyDescent="0.2">
      <c r="A71" s="120" t="s">
        <v>136</v>
      </c>
      <c r="B71" s="121">
        <f>SUM(B68:B70)</f>
        <v>238.35451538461547</v>
      </c>
      <c r="C71" s="122">
        <v>1591.3</v>
      </c>
      <c r="D71" s="123">
        <f>B71/C71</f>
        <v>0.14978603367348425</v>
      </c>
      <c r="E71" s="124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</row>
    <row r="72" spans="1:20" x14ac:dyDescent="0.2">
      <c r="A72" s="117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</row>
    <row r="73" spans="1:20" x14ac:dyDescent="0.2">
      <c r="A73" s="117" t="s">
        <v>49</v>
      </c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</row>
    <row r="74" spans="1:20" x14ac:dyDescent="0.2">
      <c r="A74" s="114" t="s">
        <v>133</v>
      </c>
      <c r="B74" s="119">
        <f>F74</f>
        <v>206.21793673811433</v>
      </c>
      <c r="F74" s="119">
        <f>G74/13</f>
        <v>206.21793673811433</v>
      </c>
      <c r="G74" s="119">
        <f>SUM(H74:T74)</f>
        <v>2680.8331775954862</v>
      </c>
      <c r="H74" s="442">
        <v>191.6</v>
      </c>
      <c r="I74" s="442">
        <v>229</v>
      </c>
      <c r="J74" s="442">
        <v>271.39999999999998</v>
      </c>
      <c r="K74" s="442">
        <v>248.78330766000582</v>
      </c>
      <c r="L74" s="442">
        <v>275.2</v>
      </c>
      <c r="M74" s="442">
        <v>255.4</v>
      </c>
      <c r="N74" s="442">
        <f>H53</f>
        <v>198.16204934875901</v>
      </c>
      <c r="O74" s="442">
        <f t="shared" ref="O74:T76" si="15">I53</f>
        <v>192.3</v>
      </c>
      <c r="P74" s="442">
        <f t="shared" si="15"/>
        <v>175</v>
      </c>
      <c r="Q74" s="442">
        <f t="shared" si="15"/>
        <v>166.4</v>
      </c>
      <c r="R74" s="442">
        <f t="shared" si="15"/>
        <v>170.2</v>
      </c>
      <c r="S74" s="442">
        <f t="shared" si="15"/>
        <v>155.9</v>
      </c>
      <c r="T74" s="442">
        <f t="shared" si="15"/>
        <v>151.48782058672157</v>
      </c>
    </row>
    <row r="75" spans="1:20" x14ac:dyDescent="0.2">
      <c r="A75" s="114" t="s">
        <v>134</v>
      </c>
      <c r="B75" s="119">
        <f>F75</f>
        <v>287.25922007475907</v>
      </c>
      <c r="F75" s="119">
        <f>G75/13</f>
        <v>287.25922007475907</v>
      </c>
      <c r="G75" s="119">
        <f>SUM(H75:T75)</f>
        <v>3734.3698609718676</v>
      </c>
      <c r="H75" s="442">
        <v>328.3</v>
      </c>
      <c r="I75" s="442">
        <v>382.2</v>
      </c>
      <c r="J75" s="442">
        <v>347.1</v>
      </c>
      <c r="K75" s="442">
        <v>253.73137784535183</v>
      </c>
      <c r="L75" s="442">
        <v>292.60000000000002</v>
      </c>
      <c r="M75" s="442">
        <v>297.3</v>
      </c>
      <c r="N75" s="442">
        <f t="shared" ref="N75:N76" si="16">H54</f>
        <v>301.360169613621</v>
      </c>
      <c r="O75" s="442">
        <f t="shared" si="15"/>
        <v>280.7</v>
      </c>
      <c r="P75" s="442">
        <f t="shared" si="15"/>
        <v>262.8</v>
      </c>
      <c r="Q75" s="442">
        <f t="shared" si="15"/>
        <v>264.39999999999998</v>
      </c>
      <c r="R75" s="442">
        <f t="shared" si="15"/>
        <v>259.8</v>
      </c>
      <c r="S75" s="442">
        <f t="shared" si="15"/>
        <v>263.8</v>
      </c>
      <c r="T75" s="442">
        <f t="shared" si="15"/>
        <v>200.27831351289501</v>
      </c>
    </row>
    <row r="76" spans="1:20" x14ac:dyDescent="0.2">
      <c r="A76" s="114" t="s">
        <v>135</v>
      </c>
      <c r="B76" s="119">
        <f>F76</f>
        <v>-155.24031464122498</v>
      </c>
      <c r="F76" s="119">
        <f>G76/13</f>
        <v>-155.24031464122498</v>
      </c>
      <c r="G76" s="119">
        <f>SUM(H76:T76)</f>
        <v>-2018.1240903359248</v>
      </c>
      <c r="H76" s="442">
        <v>-213.7</v>
      </c>
      <c r="I76" s="442">
        <v>-347.7</v>
      </c>
      <c r="J76" s="442">
        <v>-178.4</v>
      </c>
      <c r="K76" s="442">
        <v>-152.3689</v>
      </c>
      <c r="L76" s="442">
        <v>-128.9</v>
      </c>
      <c r="M76" s="442">
        <v>-94.6</v>
      </c>
      <c r="N76" s="442">
        <f t="shared" si="16"/>
        <v>-188.43119449901801</v>
      </c>
      <c r="O76" s="442">
        <f t="shared" si="15"/>
        <v>-130.19999999999999</v>
      </c>
      <c r="P76" s="442">
        <f t="shared" si="15"/>
        <v>-112.3</v>
      </c>
      <c r="Q76" s="442">
        <f t="shared" si="15"/>
        <v>-118.1</v>
      </c>
      <c r="R76" s="442">
        <f t="shared" si="15"/>
        <v>-114</v>
      </c>
      <c r="S76" s="442">
        <f t="shared" si="15"/>
        <v>-110.7</v>
      </c>
      <c r="T76" s="442">
        <f t="shared" si="15"/>
        <v>-128.72399583690702</v>
      </c>
    </row>
    <row r="77" spans="1:20" x14ac:dyDescent="0.2">
      <c r="A77" s="120" t="s">
        <v>136</v>
      </c>
      <c r="B77" s="121">
        <f>SUM(B74:B76)</f>
        <v>338.23684217164845</v>
      </c>
      <c r="C77" s="122">
        <v>1827.6</v>
      </c>
      <c r="D77" s="123">
        <f>B77/C77</f>
        <v>0.18507159234605411</v>
      </c>
      <c r="E77" s="124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</row>
    <row r="78" spans="1:20" x14ac:dyDescent="0.2"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</row>
    <row r="79" spans="1:20" x14ac:dyDescent="0.2">
      <c r="A79" s="117" t="s">
        <v>132</v>
      </c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</row>
    <row r="80" spans="1:20" x14ac:dyDescent="0.2">
      <c r="A80" s="114" t="s">
        <v>133</v>
      </c>
      <c r="B80" s="119">
        <f>SUM(B68,B74)</f>
        <v>674.94756750734507</v>
      </c>
      <c r="F80" s="119">
        <f>G80/13</f>
        <v>674.94756750734496</v>
      </c>
      <c r="G80" s="119">
        <f>SUM(H80:T80)</f>
        <v>8774.318377595484</v>
      </c>
      <c r="H80" s="119">
        <f t="shared" ref="H80:T82" si="17">H68+H74</f>
        <v>675.2</v>
      </c>
      <c r="I80" s="119">
        <f t="shared" si="17"/>
        <v>753.3</v>
      </c>
      <c r="J80" s="119">
        <f t="shared" si="17"/>
        <v>911.88969999999995</v>
      </c>
      <c r="K80" s="119">
        <f t="shared" si="17"/>
        <v>836.52080766000574</v>
      </c>
      <c r="L80" s="119">
        <f t="shared" si="17"/>
        <v>863.827</v>
      </c>
      <c r="M80" s="119">
        <f t="shared" si="17"/>
        <v>852.97</v>
      </c>
      <c r="N80" s="119">
        <f t="shared" si="17"/>
        <v>737.46204934875891</v>
      </c>
      <c r="O80" s="119">
        <f t="shared" si="17"/>
        <v>656.90000000000009</v>
      </c>
      <c r="P80" s="119">
        <f t="shared" si="17"/>
        <v>555.5</v>
      </c>
      <c r="Q80" s="119">
        <f t="shared" si="17"/>
        <v>500.9</v>
      </c>
      <c r="R80" s="119">
        <f t="shared" si="17"/>
        <v>538.4</v>
      </c>
      <c r="S80" s="119">
        <f t="shared" si="17"/>
        <v>494.29999999999995</v>
      </c>
      <c r="T80" s="119">
        <f t="shared" si="17"/>
        <v>397.14882058672163</v>
      </c>
    </row>
    <row r="81" spans="1:20" x14ac:dyDescent="0.2">
      <c r="A81" s="114" t="s">
        <v>134</v>
      </c>
      <c r="B81" s="119">
        <f>SUM(B69,B75)</f>
        <v>393.96572007475908</v>
      </c>
      <c r="F81" s="119">
        <f>G81/13</f>
        <v>393.96572007475902</v>
      </c>
      <c r="G81" s="119">
        <f>SUM(H81:T81)</f>
        <v>5121.554360971867</v>
      </c>
      <c r="H81" s="119">
        <f t="shared" si="17"/>
        <v>490.5</v>
      </c>
      <c r="I81" s="119">
        <f t="shared" si="17"/>
        <v>541.5</v>
      </c>
      <c r="J81" s="119">
        <f t="shared" si="17"/>
        <v>491.31850000000003</v>
      </c>
      <c r="K81" s="119">
        <f t="shared" si="17"/>
        <v>335.4503778453518</v>
      </c>
      <c r="L81" s="119">
        <f t="shared" si="17"/>
        <v>383.98</v>
      </c>
      <c r="M81" s="119">
        <f t="shared" si="17"/>
        <v>331.34500000000003</v>
      </c>
      <c r="N81" s="119">
        <f t="shared" si="17"/>
        <v>384.26016961362097</v>
      </c>
      <c r="O81" s="119">
        <f t="shared" si="17"/>
        <v>395.6</v>
      </c>
      <c r="P81" s="119">
        <f t="shared" si="17"/>
        <v>412</v>
      </c>
      <c r="Q81" s="119">
        <f t="shared" si="17"/>
        <v>373.59999999999997</v>
      </c>
      <c r="R81" s="119">
        <f t="shared" si="17"/>
        <v>340</v>
      </c>
      <c r="S81" s="119">
        <f t="shared" si="17"/>
        <v>366.70000000000005</v>
      </c>
      <c r="T81" s="119">
        <f t="shared" si="17"/>
        <v>275.300313512895</v>
      </c>
    </row>
    <row r="82" spans="1:20" x14ac:dyDescent="0.2">
      <c r="A82" s="114" t="s">
        <v>135</v>
      </c>
      <c r="B82" s="119">
        <f>SUM(B70,B76)</f>
        <v>-492.32193002584029</v>
      </c>
      <c r="F82" s="119">
        <f>G82/13</f>
        <v>-492.32193002584035</v>
      </c>
      <c r="G82" s="119">
        <f>SUM(H82:T82)</f>
        <v>-6400.1850903359245</v>
      </c>
      <c r="H82" s="119">
        <f t="shared" si="17"/>
        <v>-785.59999999999991</v>
      </c>
      <c r="I82" s="119">
        <f t="shared" si="17"/>
        <v>-847.4</v>
      </c>
      <c r="J82" s="119">
        <f t="shared" si="17"/>
        <v>-613.12030000000004</v>
      </c>
      <c r="K82" s="119">
        <f t="shared" si="17"/>
        <v>-509.03360000000004</v>
      </c>
      <c r="L82" s="119">
        <f t="shared" si="17"/>
        <v>-485.23099999999999</v>
      </c>
      <c r="M82" s="119">
        <f t="shared" si="17"/>
        <v>-414.83799999999997</v>
      </c>
      <c r="N82" s="119">
        <f t="shared" si="17"/>
        <v>-574.03119449901806</v>
      </c>
      <c r="O82" s="119">
        <f t="shared" si="17"/>
        <v>-339.2</v>
      </c>
      <c r="P82" s="119">
        <f t="shared" si="17"/>
        <v>-335.9</v>
      </c>
      <c r="Q82" s="119">
        <f t="shared" si="17"/>
        <v>-346.79999999999995</v>
      </c>
      <c r="R82" s="119">
        <f t="shared" si="17"/>
        <v>-366.9</v>
      </c>
      <c r="S82" s="119">
        <f t="shared" si="17"/>
        <v>-368.59999999999997</v>
      </c>
      <c r="T82" s="119">
        <f t="shared" si="17"/>
        <v>-413.53099583690704</v>
      </c>
    </row>
    <row r="83" spans="1:20" x14ac:dyDescent="0.2">
      <c r="A83" s="120" t="s">
        <v>136</v>
      </c>
      <c r="B83" s="121">
        <f>SUM(B80:B82)</f>
        <v>576.59135755626392</v>
      </c>
      <c r="C83" s="122">
        <f>SUM(C71,C77)</f>
        <v>3418.8999999999996</v>
      </c>
      <c r="D83" s="123">
        <f>B83/C83</f>
        <v>0.16864820777333761</v>
      </c>
      <c r="E83" s="124"/>
      <c r="F83" s="124"/>
    </row>
    <row r="84" spans="1:20" x14ac:dyDescent="0.2">
      <c r="A84" s="117"/>
      <c r="B84" s="119"/>
      <c r="D84" s="124"/>
      <c r="E84" s="124"/>
      <c r="F84" s="124"/>
    </row>
    <row r="85" spans="1:20" x14ac:dyDescent="0.2">
      <c r="A85" s="117"/>
      <c r="B85" s="119"/>
      <c r="D85" s="124"/>
      <c r="E85" s="124"/>
      <c r="F85" s="124"/>
    </row>
    <row r="86" spans="1:20" x14ac:dyDescent="0.2">
      <c r="A86" s="111" t="s">
        <v>340</v>
      </c>
      <c r="B86" s="112"/>
      <c r="C86" s="113"/>
      <c r="D86" s="112"/>
    </row>
    <row r="87" spans="1:20" ht="33.75" x14ac:dyDescent="0.2">
      <c r="A87" s="115"/>
      <c r="B87" s="115" t="s">
        <v>341</v>
      </c>
      <c r="C87" s="125" t="s">
        <v>342</v>
      </c>
      <c r="D87" s="115" t="s">
        <v>130</v>
      </c>
      <c r="F87" s="114" t="s">
        <v>131</v>
      </c>
      <c r="G87" s="114" t="s">
        <v>132</v>
      </c>
      <c r="H87" s="116">
        <v>39508</v>
      </c>
      <c r="I87" s="116">
        <v>39539</v>
      </c>
      <c r="J87" s="116">
        <v>39569</v>
      </c>
      <c r="K87" s="116">
        <v>39600</v>
      </c>
      <c r="L87" s="116">
        <v>39630</v>
      </c>
      <c r="M87" s="116">
        <v>39661</v>
      </c>
      <c r="N87" s="116">
        <v>39692</v>
      </c>
      <c r="O87" s="116">
        <v>39722</v>
      </c>
      <c r="P87" s="116">
        <v>39753</v>
      </c>
      <c r="Q87" s="116">
        <v>39783</v>
      </c>
      <c r="R87" s="116">
        <v>39814</v>
      </c>
      <c r="S87" s="116">
        <v>39845</v>
      </c>
      <c r="T87" s="116">
        <v>39873</v>
      </c>
    </row>
    <row r="88" spans="1:20" x14ac:dyDescent="0.2">
      <c r="A88" s="117" t="s">
        <v>13</v>
      </c>
    </row>
    <row r="89" spans="1:20" x14ac:dyDescent="0.2">
      <c r="A89" s="114" t="s">
        <v>133</v>
      </c>
      <c r="B89" s="119">
        <f>F89</f>
        <v>506.03263076923082</v>
      </c>
      <c r="F89" s="119">
        <f>G89/13</f>
        <v>506.03263076923082</v>
      </c>
      <c r="G89" s="119">
        <f>SUM(H89:T89)</f>
        <v>6578.4242000000004</v>
      </c>
      <c r="H89" s="442">
        <v>447.1</v>
      </c>
      <c r="I89" s="442">
        <v>412.1</v>
      </c>
      <c r="J89" s="442">
        <v>417.2</v>
      </c>
      <c r="K89" s="442">
        <v>477.8</v>
      </c>
      <c r="L89" s="442">
        <v>411.2</v>
      </c>
      <c r="M89" s="442">
        <v>451.4</v>
      </c>
      <c r="N89" s="442">
        <f>H68</f>
        <v>483.6</v>
      </c>
      <c r="O89" s="442">
        <f t="shared" ref="O89:T97" si="18">I68</f>
        <v>524.29999999999995</v>
      </c>
      <c r="P89" s="442">
        <f t="shared" si="18"/>
        <v>640.48969999999997</v>
      </c>
      <c r="Q89" s="442">
        <f t="shared" si="18"/>
        <v>587.73749999999995</v>
      </c>
      <c r="R89" s="442">
        <f t="shared" si="18"/>
        <v>588.62699999999995</v>
      </c>
      <c r="S89" s="442">
        <f t="shared" si="18"/>
        <v>597.57000000000005</v>
      </c>
      <c r="T89" s="442">
        <f t="shared" si="18"/>
        <v>539.29999999999995</v>
      </c>
    </row>
    <row r="90" spans="1:20" x14ac:dyDescent="0.2">
      <c r="A90" s="114" t="s">
        <v>134</v>
      </c>
      <c r="B90" s="119">
        <f>F90</f>
        <v>154.41250000000002</v>
      </c>
      <c r="F90" s="119">
        <f>G90/13</f>
        <v>154.41250000000002</v>
      </c>
      <c r="G90" s="119">
        <f>SUM(H90:T90)</f>
        <v>2007.3625000000002</v>
      </c>
      <c r="H90" s="442">
        <v>233.9</v>
      </c>
      <c r="I90" s="442">
        <v>249</v>
      </c>
      <c r="J90" s="442">
        <v>217.4</v>
      </c>
      <c r="K90" s="442">
        <v>233.6</v>
      </c>
      <c r="L90" s="442">
        <v>144.19999999999999</v>
      </c>
      <c r="M90" s="442">
        <v>173.5</v>
      </c>
      <c r="N90" s="442">
        <f t="shared" ref="N90:N97" si="19">H69</f>
        <v>162.19999999999999</v>
      </c>
      <c r="O90" s="442">
        <f t="shared" si="18"/>
        <v>159.30000000000001</v>
      </c>
      <c r="P90" s="442">
        <f t="shared" si="18"/>
        <v>144.21850000000001</v>
      </c>
      <c r="Q90" s="442">
        <f t="shared" si="18"/>
        <v>81.718999999999994</v>
      </c>
      <c r="R90" s="442">
        <f t="shared" si="18"/>
        <v>91.38</v>
      </c>
      <c r="S90" s="442">
        <f t="shared" si="18"/>
        <v>34.045000000000002</v>
      </c>
      <c r="T90" s="442">
        <f t="shared" si="18"/>
        <v>82.9</v>
      </c>
    </row>
    <row r="91" spans="1:20" x14ac:dyDescent="0.2">
      <c r="A91" s="114" t="s">
        <v>135</v>
      </c>
      <c r="B91" s="119">
        <f>F91</f>
        <v>-405.56569230769242</v>
      </c>
      <c r="F91" s="119">
        <f>G91/13</f>
        <v>-405.56569230769242</v>
      </c>
      <c r="G91" s="119">
        <f>SUM(H91:T91)</f>
        <v>-5272.3540000000012</v>
      </c>
      <c r="H91" s="442">
        <v>-426</v>
      </c>
      <c r="I91" s="442">
        <v>-338.9</v>
      </c>
      <c r="J91" s="442">
        <v>-341.9</v>
      </c>
      <c r="K91" s="442">
        <v>-348.1</v>
      </c>
      <c r="L91" s="442">
        <v>-408.4</v>
      </c>
      <c r="M91" s="442">
        <v>-483.9</v>
      </c>
      <c r="N91" s="442">
        <f t="shared" si="19"/>
        <v>-571.9</v>
      </c>
      <c r="O91" s="442">
        <f t="shared" si="18"/>
        <v>-499.7</v>
      </c>
      <c r="P91" s="442">
        <f t="shared" si="18"/>
        <v>-434.72030000000001</v>
      </c>
      <c r="Q91" s="442">
        <f t="shared" si="18"/>
        <v>-356.66470000000004</v>
      </c>
      <c r="R91" s="442">
        <f t="shared" si="18"/>
        <v>-356.33100000000002</v>
      </c>
      <c r="S91" s="442">
        <f t="shared" si="18"/>
        <v>-320.238</v>
      </c>
      <c r="T91" s="442">
        <f t="shared" si="18"/>
        <v>-385.6</v>
      </c>
    </row>
    <row r="92" spans="1:20" x14ac:dyDescent="0.2">
      <c r="A92" s="120" t="s">
        <v>136</v>
      </c>
      <c r="B92" s="121">
        <f>SUM(B89:B91)</f>
        <v>254.87943846153848</v>
      </c>
      <c r="C92" s="122">
        <v>2295.3000000000002</v>
      </c>
      <c r="D92" s="123">
        <f>B92/C92</f>
        <v>0.11104406328651525</v>
      </c>
      <c r="E92" s="124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</row>
    <row r="93" spans="1:20" x14ac:dyDescent="0.2">
      <c r="A93" s="117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</row>
    <row r="94" spans="1:20" x14ac:dyDescent="0.2">
      <c r="A94" s="117" t="s">
        <v>49</v>
      </c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</row>
    <row r="95" spans="1:20" x14ac:dyDescent="0.2">
      <c r="A95" s="114" t="s">
        <v>133</v>
      </c>
      <c r="B95" s="119">
        <f>F95</f>
        <v>220.18453570087649</v>
      </c>
      <c r="F95" s="119">
        <f>G95/10</f>
        <v>220.18453570087649</v>
      </c>
      <c r="G95" s="119">
        <f>SUM(H95:T95)</f>
        <v>2201.8453570087649</v>
      </c>
      <c r="H95" s="119"/>
      <c r="I95" s="119"/>
      <c r="J95" s="119"/>
      <c r="K95" s="442">
        <v>167.4</v>
      </c>
      <c r="L95" s="442">
        <v>169.5</v>
      </c>
      <c r="M95" s="442">
        <v>195.4</v>
      </c>
      <c r="N95" s="442">
        <f t="shared" si="19"/>
        <v>191.6</v>
      </c>
      <c r="O95" s="442">
        <f t="shared" si="18"/>
        <v>229</v>
      </c>
      <c r="P95" s="442">
        <f t="shared" si="18"/>
        <v>271.39999999999998</v>
      </c>
      <c r="Q95" s="442">
        <f t="shared" si="18"/>
        <v>248.78330766000582</v>
      </c>
      <c r="R95" s="442">
        <f t="shared" si="18"/>
        <v>275.2</v>
      </c>
      <c r="S95" s="442">
        <f t="shared" si="18"/>
        <v>255.4</v>
      </c>
      <c r="T95" s="442">
        <f t="shared" si="18"/>
        <v>198.16204934875901</v>
      </c>
    </row>
    <row r="96" spans="1:20" x14ac:dyDescent="0.2">
      <c r="A96" s="114" t="s">
        <v>134</v>
      </c>
      <c r="B96" s="119">
        <f>F96</f>
        <v>297.47915474589729</v>
      </c>
      <c r="F96" s="119">
        <f>G96/10</f>
        <v>297.47915474589729</v>
      </c>
      <c r="G96" s="119">
        <f>SUM(H96:T96)</f>
        <v>2974.7915474589731</v>
      </c>
      <c r="H96" s="119"/>
      <c r="I96" s="119"/>
      <c r="J96" s="119"/>
      <c r="K96" s="442">
        <v>245.4</v>
      </c>
      <c r="L96" s="442">
        <v>244.4</v>
      </c>
      <c r="M96" s="442">
        <v>282.39999999999998</v>
      </c>
      <c r="N96" s="442">
        <f t="shared" si="19"/>
        <v>328.3</v>
      </c>
      <c r="O96" s="442">
        <f t="shared" si="18"/>
        <v>382.2</v>
      </c>
      <c r="P96" s="442">
        <f t="shared" si="18"/>
        <v>347.1</v>
      </c>
      <c r="Q96" s="442">
        <f t="shared" si="18"/>
        <v>253.73137784535183</v>
      </c>
      <c r="R96" s="442">
        <f t="shared" si="18"/>
        <v>292.60000000000002</v>
      </c>
      <c r="S96" s="442">
        <f t="shared" si="18"/>
        <v>297.3</v>
      </c>
      <c r="T96" s="442">
        <f t="shared" si="18"/>
        <v>301.360169613621</v>
      </c>
    </row>
    <row r="97" spans="1:20" x14ac:dyDescent="0.2">
      <c r="A97" s="114" t="s">
        <v>135</v>
      </c>
      <c r="B97" s="119">
        <f>F97</f>
        <v>-168.67000944990178</v>
      </c>
      <c r="F97" s="119">
        <f>G97/10</f>
        <v>-168.67000944990178</v>
      </c>
      <c r="G97" s="119">
        <f>SUM(H97:T97)</f>
        <v>-1686.700094499018</v>
      </c>
      <c r="H97" s="119"/>
      <c r="I97" s="119"/>
      <c r="J97" s="119"/>
      <c r="K97" s="442">
        <v>-121.5</v>
      </c>
      <c r="L97" s="442">
        <v>-114.6</v>
      </c>
      <c r="M97" s="442">
        <v>-146.5</v>
      </c>
      <c r="N97" s="442">
        <f t="shared" si="19"/>
        <v>-213.7</v>
      </c>
      <c r="O97" s="442">
        <f t="shared" si="18"/>
        <v>-347.7</v>
      </c>
      <c r="P97" s="442">
        <f t="shared" si="18"/>
        <v>-178.4</v>
      </c>
      <c r="Q97" s="442">
        <f t="shared" si="18"/>
        <v>-152.3689</v>
      </c>
      <c r="R97" s="442">
        <f t="shared" si="18"/>
        <v>-128.9</v>
      </c>
      <c r="S97" s="442">
        <f t="shared" si="18"/>
        <v>-94.6</v>
      </c>
      <c r="T97" s="442">
        <f t="shared" si="18"/>
        <v>-188.43119449901801</v>
      </c>
    </row>
    <row r="98" spans="1:20" x14ac:dyDescent="0.2">
      <c r="A98" s="120" t="s">
        <v>136</v>
      </c>
      <c r="B98" s="121">
        <f>SUM(B95:B97)</f>
        <v>348.993680996872</v>
      </c>
      <c r="C98" s="122">
        <f>1941.1</f>
        <v>1941.1</v>
      </c>
      <c r="D98" s="123">
        <f>B98/C98</f>
        <v>0.17979170624742261</v>
      </c>
      <c r="E98" s="124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</row>
    <row r="99" spans="1:20" x14ac:dyDescent="0.2"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</row>
    <row r="100" spans="1:20" x14ac:dyDescent="0.2">
      <c r="A100" s="117" t="s">
        <v>132</v>
      </c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</row>
    <row r="101" spans="1:20" x14ac:dyDescent="0.2">
      <c r="A101" s="114" t="s">
        <v>133</v>
      </c>
      <c r="B101" s="119">
        <f>SUM(B89,B95)</f>
        <v>726.21716647010726</v>
      </c>
      <c r="F101" s="119">
        <f>SUM(F89,F95)</f>
        <v>726.21716647010726</v>
      </c>
      <c r="G101" s="119">
        <f>SUM(H101:T101)</f>
        <v>8780.2695570087653</v>
      </c>
      <c r="H101" s="119">
        <f t="shared" ref="H101:T103" si="20">H89+H95</f>
        <v>447.1</v>
      </c>
      <c r="I101" s="119">
        <f t="shared" si="20"/>
        <v>412.1</v>
      </c>
      <c r="J101" s="119">
        <f t="shared" si="20"/>
        <v>417.2</v>
      </c>
      <c r="K101" s="119">
        <f t="shared" si="20"/>
        <v>645.20000000000005</v>
      </c>
      <c r="L101" s="119">
        <f t="shared" si="20"/>
        <v>580.70000000000005</v>
      </c>
      <c r="M101" s="119">
        <f t="shared" si="20"/>
        <v>646.79999999999995</v>
      </c>
      <c r="N101" s="119">
        <f t="shared" si="20"/>
        <v>675.2</v>
      </c>
      <c r="O101" s="119">
        <f t="shared" si="20"/>
        <v>753.3</v>
      </c>
      <c r="P101" s="119">
        <f t="shared" si="20"/>
        <v>911.88969999999995</v>
      </c>
      <c r="Q101" s="119">
        <f t="shared" si="20"/>
        <v>836.52080766000574</v>
      </c>
      <c r="R101" s="119">
        <f t="shared" si="20"/>
        <v>863.827</v>
      </c>
      <c r="S101" s="119">
        <f t="shared" si="20"/>
        <v>852.97</v>
      </c>
      <c r="T101" s="119">
        <f t="shared" si="20"/>
        <v>737.46204934875891</v>
      </c>
    </row>
    <row r="102" spans="1:20" x14ac:dyDescent="0.2">
      <c r="A102" s="114" t="s">
        <v>134</v>
      </c>
      <c r="B102" s="119">
        <f>SUM(B90,B96)</f>
        <v>451.89165474589731</v>
      </c>
      <c r="F102" s="119">
        <f>SUM(F90,F96)</f>
        <v>451.89165474589731</v>
      </c>
      <c r="G102" s="119">
        <f>SUM(H102:T102)</f>
        <v>4982.1540474589729</v>
      </c>
      <c r="H102" s="119">
        <f t="shared" si="20"/>
        <v>233.9</v>
      </c>
      <c r="I102" s="119">
        <f t="shared" si="20"/>
        <v>249</v>
      </c>
      <c r="J102" s="119">
        <f t="shared" si="20"/>
        <v>217.4</v>
      </c>
      <c r="K102" s="119">
        <f t="shared" si="20"/>
        <v>479</v>
      </c>
      <c r="L102" s="119">
        <f t="shared" si="20"/>
        <v>388.6</v>
      </c>
      <c r="M102" s="119">
        <f t="shared" si="20"/>
        <v>455.9</v>
      </c>
      <c r="N102" s="119">
        <f t="shared" si="20"/>
        <v>490.5</v>
      </c>
      <c r="O102" s="119">
        <f t="shared" si="20"/>
        <v>541.5</v>
      </c>
      <c r="P102" s="119">
        <f t="shared" si="20"/>
        <v>491.31850000000003</v>
      </c>
      <c r="Q102" s="119">
        <f t="shared" si="20"/>
        <v>335.4503778453518</v>
      </c>
      <c r="R102" s="119">
        <f t="shared" si="20"/>
        <v>383.98</v>
      </c>
      <c r="S102" s="119">
        <f t="shared" si="20"/>
        <v>331.34500000000003</v>
      </c>
      <c r="T102" s="119">
        <f t="shared" si="20"/>
        <v>384.26016961362097</v>
      </c>
    </row>
    <row r="103" spans="1:20" x14ac:dyDescent="0.2">
      <c r="A103" s="114" t="s">
        <v>135</v>
      </c>
      <c r="B103" s="119">
        <f>SUM(B91,B97)</f>
        <v>-574.23570175759414</v>
      </c>
      <c r="F103" s="119">
        <f>SUM(F91,F97)</f>
        <v>-574.23570175759414</v>
      </c>
      <c r="G103" s="119">
        <f>SUM(H103:T103)</f>
        <v>-6959.0540944990171</v>
      </c>
      <c r="H103" s="119">
        <f t="shared" si="20"/>
        <v>-426</v>
      </c>
      <c r="I103" s="119">
        <f t="shared" si="20"/>
        <v>-338.9</v>
      </c>
      <c r="J103" s="119">
        <f t="shared" si="20"/>
        <v>-341.9</v>
      </c>
      <c r="K103" s="119">
        <f t="shared" si="20"/>
        <v>-469.6</v>
      </c>
      <c r="L103" s="119">
        <f t="shared" si="20"/>
        <v>-523</v>
      </c>
      <c r="M103" s="119">
        <f t="shared" si="20"/>
        <v>-630.4</v>
      </c>
      <c r="N103" s="119">
        <f t="shared" si="20"/>
        <v>-785.59999999999991</v>
      </c>
      <c r="O103" s="119">
        <f t="shared" si="20"/>
        <v>-847.4</v>
      </c>
      <c r="P103" s="119">
        <f t="shared" si="20"/>
        <v>-613.12030000000004</v>
      </c>
      <c r="Q103" s="119">
        <f t="shared" si="20"/>
        <v>-509.03360000000004</v>
      </c>
      <c r="R103" s="119">
        <f t="shared" si="20"/>
        <v>-485.23099999999999</v>
      </c>
      <c r="S103" s="119">
        <f t="shared" si="20"/>
        <v>-414.83799999999997</v>
      </c>
      <c r="T103" s="119">
        <f t="shared" si="20"/>
        <v>-574.03119449901806</v>
      </c>
    </row>
    <row r="104" spans="1:20" x14ac:dyDescent="0.2">
      <c r="A104" s="120" t="s">
        <v>136</v>
      </c>
      <c r="B104" s="121">
        <f>SUM(B101:B103)</f>
        <v>603.87311945841043</v>
      </c>
      <c r="C104" s="122">
        <f>SUM(C92,C98)</f>
        <v>4236.3999999999996</v>
      </c>
      <c r="D104" s="123">
        <f>B104/C104</f>
        <v>0.14254393340062566</v>
      </c>
      <c r="E104" s="124"/>
      <c r="F104" s="124"/>
    </row>
    <row r="105" spans="1:20" x14ac:dyDescent="0.2">
      <c r="A105" s="117"/>
      <c r="B105" s="119"/>
      <c r="D105" s="124"/>
      <c r="E105" s="124"/>
      <c r="F105" s="124"/>
    </row>
    <row r="106" spans="1:20" x14ac:dyDescent="0.2">
      <c r="A106" s="117"/>
      <c r="B106" s="119"/>
      <c r="D106" s="124"/>
      <c r="E106" s="124"/>
      <c r="F106" s="124"/>
    </row>
    <row r="107" spans="1:20" x14ac:dyDescent="0.2">
      <c r="A107" s="111" t="s">
        <v>137</v>
      </c>
      <c r="B107" s="112"/>
      <c r="C107" s="113"/>
      <c r="D107" s="112"/>
      <c r="E107" s="124"/>
      <c r="F107" s="124"/>
    </row>
    <row r="108" spans="1:20" ht="33.75" x14ac:dyDescent="0.2">
      <c r="A108" s="115"/>
      <c r="B108" s="115" t="s">
        <v>138</v>
      </c>
      <c r="C108" s="125" t="s">
        <v>139</v>
      </c>
      <c r="D108" s="115" t="s">
        <v>130</v>
      </c>
      <c r="E108" s="124"/>
      <c r="F108" s="114" t="s">
        <v>131</v>
      </c>
      <c r="G108" s="114" t="s">
        <v>132</v>
      </c>
      <c r="H108" s="116">
        <v>39326</v>
      </c>
      <c r="I108" s="116">
        <v>39356</v>
      </c>
      <c r="J108" s="116">
        <v>39387</v>
      </c>
      <c r="K108" s="116">
        <v>39417</v>
      </c>
      <c r="L108" s="116">
        <v>39448</v>
      </c>
      <c r="M108" s="116">
        <v>39479</v>
      </c>
      <c r="N108" s="116">
        <v>39508</v>
      </c>
      <c r="O108" s="116">
        <v>39539</v>
      </c>
      <c r="P108" s="116">
        <v>39569</v>
      </c>
      <c r="Q108" s="116">
        <v>39600</v>
      </c>
      <c r="R108" s="116">
        <v>39630</v>
      </c>
      <c r="S108" s="116">
        <v>39661</v>
      </c>
      <c r="T108" s="116">
        <v>39692</v>
      </c>
    </row>
    <row r="109" spans="1:20" x14ac:dyDescent="0.2">
      <c r="A109" s="117" t="s">
        <v>13</v>
      </c>
    </row>
    <row r="110" spans="1:20" x14ac:dyDescent="0.2">
      <c r="A110" s="114" t="s">
        <v>133</v>
      </c>
      <c r="B110" s="119">
        <f>F110</f>
        <v>363.2076923076923</v>
      </c>
      <c r="F110" s="119">
        <f>G110/13</f>
        <v>363.2076923076923</v>
      </c>
      <c r="G110" s="119">
        <f>SUM(H110:T110)</f>
        <v>4721.7</v>
      </c>
      <c r="H110" s="442">
        <v>221.7</v>
      </c>
      <c r="I110" s="442">
        <v>234.8</v>
      </c>
      <c r="J110" s="442">
        <v>239.2</v>
      </c>
      <c r="K110" s="442">
        <v>257.3</v>
      </c>
      <c r="L110" s="442">
        <v>293.8</v>
      </c>
      <c r="M110" s="442">
        <v>374.5</v>
      </c>
      <c r="N110" s="442">
        <f>H89</f>
        <v>447.1</v>
      </c>
      <c r="O110" s="442">
        <f t="shared" ref="O110:T118" si="21">I89</f>
        <v>412.1</v>
      </c>
      <c r="P110" s="442">
        <f t="shared" si="21"/>
        <v>417.2</v>
      </c>
      <c r="Q110" s="442">
        <f t="shared" si="21"/>
        <v>477.8</v>
      </c>
      <c r="R110" s="442">
        <f t="shared" si="21"/>
        <v>411.2</v>
      </c>
      <c r="S110" s="442">
        <f t="shared" si="21"/>
        <v>451.4</v>
      </c>
      <c r="T110" s="442">
        <f t="shared" si="21"/>
        <v>483.6</v>
      </c>
    </row>
    <row r="111" spans="1:20" x14ac:dyDescent="0.2">
      <c r="A111" s="114" t="s">
        <v>134</v>
      </c>
      <c r="B111" s="119">
        <f>F111</f>
        <v>172.96153846153845</v>
      </c>
      <c r="F111" s="119">
        <f>G111/13</f>
        <v>172.96153846153845</v>
      </c>
      <c r="G111" s="119">
        <f>SUM(H111:T111)</f>
        <v>2248.5</v>
      </c>
      <c r="H111" s="442">
        <v>148.4</v>
      </c>
      <c r="I111" s="442">
        <v>123.8</v>
      </c>
      <c r="J111" s="442">
        <v>124.3</v>
      </c>
      <c r="K111" s="442">
        <v>151.80000000000001</v>
      </c>
      <c r="L111" s="442">
        <v>123.4</v>
      </c>
      <c r="M111" s="442">
        <v>163</v>
      </c>
      <c r="N111" s="442">
        <f t="shared" ref="N111:N112" si="22">H90</f>
        <v>233.9</v>
      </c>
      <c r="O111" s="442">
        <f t="shared" si="21"/>
        <v>249</v>
      </c>
      <c r="P111" s="442">
        <f t="shared" si="21"/>
        <v>217.4</v>
      </c>
      <c r="Q111" s="442">
        <f t="shared" si="21"/>
        <v>233.6</v>
      </c>
      <c r="R111" s="442">
        <f t="shared" si="21"/>
        <v>144.19999999999999</v>
      </c>
      <c r="S111" s="442">
        <f t="shared" si="21"/>
        <v>173.5</v>
      </c>
      <c r="T111" s="442">
        <f t="shared" si="21"/>
        <v>162.19999999999999</v>
      </c>
    </row>
    <row r="112" spans="1:20" x14ac:dyDescent="0.2">
      <c r="A112" s="114" t="s">
        <v>135</v>
      </c>
      <c r="B112" s="119">
        <f>F112</f>
        <v>-335.37692307692311</v>
      </c>
      <c r="F112" s="119">
        <f>G112/13</f>
        <v>-335.37692307692311</v>
      </c>
      <c r="G112" s="119">
        <f>SUM(H112:T112)</f>
        <v>-4359.9000000000005</v>
      </c>
      <c r="H112" s="442">
        <v>-248.9</v>
      </c>
      <c r="I112" s="442">
        <v>-224.7</v>
      </c>
      <c r="J112" s="442">
        <v>-215.1</v>
      </c>
      <c r="K112" s="442">
        <v>-202.3</v>
      </c>
      <c r="L112" s="442">
        <v>-243.4</v>
      </c>
      <c r="M112" s="442">
        <v>-306.39999999999998</v>
      </c>
      <c r="N112" s="442">
        <f t="shared" si="22"/>
        <v>-426</v>
      </c>
      <c r="O112" s="442">
        <f t="shared" si="21"/>
        <v>-338.9</v>
      </c>
      <c r="P112" s="442">
        <f t="shared" si="21"/>
        <v>-341.9</v>
      </c>
      <c r="Q112" s="442">
        <f t="shared" si="21"/>
        <v>-348.1</v>
      </c>
      <c r="R112" s="442">
        <f t="shared" si="21"/>
        <v>-408.4</v>
      </c>
      <c r="S112" s="442">
        <f t="shared" si="21"/>
        <v>-483.9</v>
      </c>
      <c r="T112" s="442">
        <f t="shared" si="21"/>
        <v>-571.9</v>
      </c>
    </row>
    <row r="113" spans="1:20" x14ac:dyDescent="0.2">
      <c r="A113" s="120" t="s">
        <v>136</v>
      </c>
      <c r="B113" s="121">
        <f>SUM(B110:B112)</f>
        <v>200.7923076923077</v>
      </c>
      <c r="C113" s="122">
        <v>2347.5</v>
      </c>
      <c r="D113" s="123">
        <f>B113/C113</f>
        <v>8.5534529368395187E-2</v>
      </c>
      <c r="E113" s="124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</row>
    <row r="114" spans="1:20" x14ac:dyDescent="0.2">
      <c r="A114" s="117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</row>
    <row r="115" spans="1:20" x14ac:dyDescent="0.2">
      <c r="A115" s="117" t="s">
        <v>49</v>
      </c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</row>
    <row r="116" spans="1:20" x14ac:dyDescent="0.2">
      <c r="A116" s="114" t="s">
        <v>133</v>
      </c>
      <c r="B116" s="119">
        <f>F116</f>
        <v>180.97499999999999</v>
      </c>
      <c r="F116" s="119">
        <f>G116/4</f>
        <v>180.97499999999999</v>
      </c>
      <c r="G116" s="119">
        <f>SUM(H116:T116)</f>
        <v>723.9</v>
      </c>
      <c r="H116" s="119"/>
      <c r="I116" s="119"/>
      <c r="J116" s="119"/>
      <c r="K116" s="119"/>
      <c r="L116" s="119"/>
      <c r="M116" s="119"/>
      <c r="N116" s="119"/>
      <c r="O116" s="119"/>
      <c r="P116" s="119"/>
      <c r="Q116" s="442">
        <f t="shared" si="21"/>
        <v>167.4</v>
      </c>
      <c r="R116" s="442">
        <f t="shared" si="21"/>
        <v>169.5</v>
      </c>
      <c r="S116" s="442">
        <f t="shared" si="21"/>
        <v>195.4</v>
      </c>
      <c r="T116" s="442">
        <f t="shared" si="21"/>
        <v>191.6</v>
      </c>
    </row>
    <row r="117" spans="1:20" x14ac:dyDescent="0.2">
      <c r="A117" s="114" t="s">
        <v>134</v>
      </c>
      <c r="B117" s="119">
        <f>F117</f>
        <v>275.125</v>
      </c>
      <c r="F117" s="119">
        <f>G117/4</f>
        <v>275.125</v>
      </c>
      <c r="G117" s="119">
        <f>SUM(H117:T117)</f>
        <v>1100.5</v>
      </c>
      <c r="H117" s="119"/>
      <c r="I117" s="119"/>
      <c r="J117" s="119"/>
      <c r="K117" s="119"/>
      <c r="L117" s="119"/>
      <c r="M117" s="119"/>
      <c r="N117" s="119"/>
      <c r="O117" s="119"/>
      <c r="P117" s="119"/>
      <c r="Q117" s="442">
        <f t="shared" si="21"/>
        <v>245.4</v>
      </c>
      <c r="R117" s="442">
        <f t="shared" si="21"/>
        <v>244.4</v>
      </c>
      <c r="S117" s="442">
        <f t="shared" si="21"/>
        <v>282.39999999999998</v>
      </c>
      <c r="T117" s="442">
        <f t="shared" si="21"/>
        <v>328.3</v>
      </c>
    </row>
    <row r="118" spans="1:20" x14ac:dyDescent="0.2">
      <c r="A118" s="114" t="s">
        <v>135</v>
      </c>
      <c r="B118" s="119">
        <f>F118</f>
        <v>-149.07499999999999</v>
      </c>
      <c r="F118" s="119">
        <f>G118/4</f>
        <v>-149.07499999999999</v>
      </c>
      <c r="G118" s="119">
        <f>SUM(H118:T118)</f>
        <v>-596.29999999999995</v>
      </c>
      <c r="H118" s="119"/>
      <c r="I118" s="119"/>
      <c r="J118" s="119"/>
      <c r="K118" s="119"/>
      <c r="L118" s="119"/>
      <c r="M118" s="119"/>
      <c r="N118" s="119"/>
      <c r="O118" s="119"/>
      <c r="P118" s="119"/>
      <c r="Q118" s="442">
        <f t="shared" si="21"/>
        <v>-121.5</v>
      </c>
      <c r="R118" s="442">
        <f t="shared" si="21"/>
        <v>-114.6</v>
      </c>
      <c r="S118" s="442">
        <f t="shared" si="21"/>
        <v>-146.5</v>
      </c>
      <c r="T118" s="442">
        <f t="shared" si="21"/>
        <v>-213.7</v>
      </c>
    </row>
    <row r="119" spans="1:20" x14ac:dyDescent="0.2">
      <c r="A119" s="120" t="s">
        <v>136</v>
      </c>
      <c r="B119" s="121">
        <f>SUM(B116:B118)</f>
        <v>307.02500000000003</v>
      </c>
      <c r="C119" s="122">
        <v>1717.1</v>
      </c>
      <c r="D119" s="123">
        <f>B119/C119</f>
        <v>0.17880437947702524</v>
      </c>
      <c r="E119" s="124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</row>
    <row r="120" spans="1:20" x14ac:dyDescent="0.2"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</row>
    <row r="121" spans="1:20" x14ac:dyDescent="0.2">
      <c r="A121" s="117" t="s">
        <v>132</v>
      </c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</row>
    <row r="122" spans="1:20" x14ac:dyDescent="0.2">
      <c r="A122" s="114" t="s">
        <v>133</v>
      </c>
      <c r="B122" s="119">
        <f>F122</f>
        <v>544.18269230769226</v>
      </c>
      <c r="F122" s="119">
        <f>SUM(F110,F116)</f>
        <v>544.18269230769226</v>
      </c>
      <c r="G122" s="119">
        <f>SUM(H122:T122)</f>
        <v>5445.5999999999995</v>
      </c>
      <c r="H122" s="119">
        <f t="shared" ref="H122:T124" si="23">H110+H116</f>
        <v>221.7</v>
      </c>
      <c r="I122" s="119">
        <f t="shared" si="23"/>
        <v>234.8</v>
      </c>
      <c r="J122" s="119">
        <f t="shared" si="23"/>
        <v>239.2</v>
      </c>
      <c r="K122" s="119">
        <f t="shared" si="23"/>
        <v>257.3</v>
      </c>
      <c r="L122" s="119">
        <f t="shared" si="23"/>
        <v>293.8</v>
      </c>
      <c r="M122" s="119">
        <f t="shared" si="23"/>
        <v>374.5</v>
      </c>
      <c r="N122" s="119">
        <f t="shared" si="23"/>
        <v>447.1</v>
      </c>
      <c r="O122" s="119">
        <f t="shared" si="23"/>
        <v>412.1</v>
      </c>
      <c r="P122" s="119">
        <f t="shared" si="23"/>
        <v>417.2</v>
      </c>
      <c r="Q122" s="119">
        <f t="shared" si="23"/>
        <v>645.20000000000005</v>
      </c>
      <c r="R122" s="119">
        <f t="shared" si="23"/>
        <v>580.70000000000005</v>
      </c>
      <c r="S122" s="119">
        <f t="shared" si="23"/>
        <v>646.79999999999995</v>
      </c>
      <c r="T122" s="119">
        <f t="shared" si="23"/>
        <v>675.2</v>
      </c>
    </row>
    <row r="123" spans="1:20" x14ac:dyDescent="0.2">
      <c r="A123" s="114" t="s">
        <v>134</v>
      </c>
      <c r="B123" s="119">
        <f>F123</f>
        <v>448.08653846153845</v>
      </c>
      <c r="F123" s="119">
        <f>SUM(F111,F117)</f>
        <v>448.08653846153845</v>
      </c>
      <c r="G123" s="119">
        <f>SUM(H123:T123)</f>
        <v>3349</v>
      </c>
      <c r="H123" s="119">
        <f t="shared" si="23"/>
        <v>148.4</v>
      </c>
      <c r="I123" s="119">
        <f t="shared" si="23"/>
        <v>123.8</v>
      </c>
      <c r="J123" s="119">
        <f t="shared" si="23"/>
        <v>124.3</v>
      </c>
      <c r="K123" s="119">
        <f t="shared" si="23"/>
        <v>151.80000000000001</v>
      </c>
      <c r="L123" s="119">
        <f t="shared" si="23"/>
        <v>123.4</v>
      </c>
      <c r="M123" s="119">
        <f t="shared" si="23"/>
        <v>163</v>
      </c>
      <c r="N123" s="119">
        <f t="shared" si="23"/>
        <v>233.9</v>
      </c>
      <c r="O123" s="119">
        <f t="shared" si="23"/>
        <v>249</v>
      </c>
      <c r="P123" s="119">
        <f t="shared" si="23"/>
        <v>217.4</v>
      </c>
      <c r="Q123" s="119">
        <f t="shared" si="23"/>
        <v>479</v>
      </c>
      <c r="R123" s="119">
        <f t="shared" si="23"/>
        <v>388.6</v>
      </c>
      <c r="S123" s="119">
        <f t="shared" si="23"/>
        <v>455.9</v>
      </c>
      <c r="T123" s="119">
        <f t="shared" si="23"/>
        <v>490.5</v>
      </c>
    </row>
    <row r="124" spans="1:20" x14ac:dyDescent="0.2">
      <c r="A124" s="114" t="s">
        <v>135</v>
      </c>
      <c r="B124" s="119">
        <f>F124</f>
        <v>-484.45192307692309</v>
      </c>
      <c r="F124" s="119">
        <f>SUM(F112,F118)</f>
        <v>-484.45192307692309</v>
      </c>
      <c r="G124" s="119">
        <f>SUM(H124:T124)</f>
        <v>-4956.2000000000007</v>
      </c>
      <c r="H124" s="119">
        <f t="shared" si="23"/>
        <v>-248.9</v>
      </c>
      <c r="I124" s="119">
        <f t="shared" si="23"/>
        <v>-224.7</v>
      </c>
      <c r="J124" s="119">
        <f t="shared" si="23"/>
        <v>-215.1</v>
      </c>
      <c r="K124" s="119">
        <f t="shared" si="23"/>
        <v>-202.3</v>
      </c>
      <c r="L124" s="119">
        <f t="shared" si="23"/>
        <v>-243.4</v>
      </c>
      <c r="M124" s="119">
        <f t="shared" si="23"/>
        <v>-306.39999999999998</v>
      </c>
      <c r="N124" s="119">
        <f t="shared" si="23"/>
        <v>-426</v>
      </c>
      <c r="O124" s="119">
        <f t="shared" si="23"/>
        <v>-338.9</v>
      </c>
      <c r="P124" s="119">
        <f t="shared" si="23"/>
        <v>-341.9</v>
      </c>
      <c r="Q124" s="119">
        <f t="shared" si="23"/>
        <v>-469.6</v>
      </c>
      <c r="R124" s="119">
        <f t="shared" si="23"/>
        <v>-523</v>
      </c>
      <c r="S124" s="119">
        <f t="shared" si="23"/>
        <v>-630.4</v>
      </c>
      <c r="T124" s="119">
        <f t="shared" si="23"/>
        <v>-785.59999999999991</v>
      </c>
    </row>
    <row r="125" spans="1:20" x14ac:dyDescent="0.2">
      <c r="A125" s="120" t="s">
        <v>136</v>
      </c>
      <c r="B125" s="121">
        <f>SUM(B122:B124)</f>
        <v>507.81730769230762</v>
      </c>
      <c r="C125" s="122">
        <v>4064.6</v>
      </c>
      <c r="D125" s="123">
        <f>B125/C125</f>
        <v>0.12493660081983655</v>
      </c>
      <c r="E125" s="124"/>
      <c r="F125" s="124"/>
    </row>
    <row r="128" spans="1:20" x14ac:dyDescent="0.2">
      <c r="H128" s="449" t="s">
        <v>343</v>
      </c>
    </row>
    <row r="129" spans="8:8" x14ac:dyDescent="0.2">
      <c r="H129" s="450" t="s">
        <v>344</v>
      </c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R25"/>
  <sheetViews>
    <sheetView workbookViewId="0"/>
  </sheetViews>
  <sheetFormatPr defaultRowHeight="12.75" x14ac:dyDescent="0.2"/>
  <cols>
    <col min="1" max="1" width="42.7109375" bestFit="1" customWidth="1"/>
    <col min="2" max="2" width="18" bestFit="1" customWidth="1"/>
    <col min="3" max="3" width="15.7109375" bestFit="1" customWidth="1"/>
    <col min="4" max="4" width="15" bestFit="1" customWidth="1"/>
    <col min="5" max="7" width="15.7109375" bestFit="1" customWidth="1"/>
    <col min="8" max="8" width="15" bestFit="1" customWidth="1"/>
    <col min="9" max="11" width="15.7109375" bestFit="1" customWidth="1"/>
    <col min="12" max="12" width="15" bestFit="1" customWidth="1"/>
    <col min="13" max="13" width="15.7109375" bestFit="1" customWidth="1"/>
    <col min="14" max="14" width="15" bestFit="1" customWidth="1"/>
    <col min="15" max="15" width="14.28515625" bestFit="1" customWidth="1"/>
    <col min="16" max="16" width="15" bestFit="1" customWidth="1"/>
    <col min="17" max="17" width="15.7109375" bestFit="1" customWidth="1"/>
    <col min="18" max="18" width="15" bestFit="1" customWidth="1"/>
  </cols>
  <sheetData>
    <row r="1" spans="1:18" x14ac:dyDescent="0.2">
      <c r="A1" s="488" t="s">
        <v>349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</row>
    <row r="2" spans="1:18" x14ac:dyDescent="0.2">
      <c r="A2" s="477" t="s">
        <v>299</v>
      </c>
      <c r="B2" s="477" t="s">
        <v>299</v>
      </c>
      <c r="C2" s="478" t="s">
        <v>351</v>
      </c>
      <c r="D2" s="478" t="s">
        <v>299</v>
      </c>
      <c r="E2" s="478" t="s">
        <v>299</v>
      </c>
      <c r="F2" s="478" t="s">
        <v>299</v>
      </c>
      <c r="G2" s="478" t="s">
        <v>394</v>
      </c>
      <c r="H2" s="478" t="s">
        <v>299</v>
      </c>
      <c r="I2" s="478" t="s">
        <v>299</v>
      </c>
      <c r="J2" s="478" t="s">
        <v>299</v>
      </c>
      <c r="K2" s="478" t="s">
        <v>352</v>
      </c>
      <c r="L2" s="478" t="s">
        <v>299</v>
      </c>
      <c r="M2" s="478" t="s">
        <v>299</v>
      </c>
      <c r="N2" s="478" t="s">
        <v>299</v>
      </c>
      <c r="O2" s="478" t="s">
        <v>299</v>
      </c>
      <c r="P2" s="478" t="s">
        <v>299</v>
      </c>
      <c r="Q2" s="478" t="s">
        <v>299</v>
      </c>
      <c r="R2" s="478" t="s">
        <v>299</v>
      </c>
    </row>
    <row r="3" spans="1:18" ht="33.75" x14ac:dyDescent="0.2">
      <c r="A3" s="477" t="s">
        <v>299</v>
      </c>
      <c r="B3" s="477" t="s">
        <v>353</v>
      </c>
      <c r="C3" s="489" t="s">
        <v>27</v>
      </c>
      <c r="D3" s="491" t="s">
        <v>354</v>
      </c>
      <c r="E3" s="491" t="s">
        <v>355</v>
      </c>
      <c r="F3" s="491" t="s">
        <v>359</v>
      </c>
      <c r="G3" s="489" t="s">
        <v>27</v>
      </c>
      <c r="H3" s="491" t="s">
        <v>354</v>
      </c>
      <c r="I3" s="491" t="s">
        <v>355</v>
      </c>
      <c r="J3" s="491" t="s">
        <v>359</v>
      </c>
      <c r="K3" s="489" t="s">
        <v>27</v>
      </c>
      <c r="L3" s="491" t="s">
        <v>354</v>
      </c>
      <c r="M3" s="491" t="s">
        <v>355</v>
      </c>
      <c r="N3" s="493" t="s">
        <v>356</v>
      </c>
      <c r="O3" s="493" t="s">
        <v>395</v>
      </c>
      <c r="P3" s="493" t="s">
        <v>357</v>
      </c>
      <c r="Q3" s="493" t="s">
        <v>358</v>
      </c>
      <c r="R3" s="491" t="s">
        <v>359</v>
      </c>
    </row>
    <row r="4" spans="1:18" x14ac:dyDescent="0.2">
      <c r="A4" s="477" t="s">
        <v>360</v>
      </c>
      <c r="B4" s="477" t="s">
        <v>299</v>
      </c>
      <c r="C4" s="489" t="s">
        <v>361</v>
      </c>
      <c r="D4" s="490" t="s">
        <v>361</v>
      </c>
      <c r="E4" s="490" t="s">
        <v>362</v>
      </c>
      <c r="F4" s="490" t="s">
        <v>365</v>
      </c>
      <c r="G4" s="489" t="s">
        <v>361</v>
      </c>
      <c r="H4" s="490" t="s">
        <v>361</v>
      </c>
      <c r="I4" s="490" t="s">
        <v>362</v>
      </c>
      <c r="J4" s="490" t="s">
        <v>365</v>
      </c>
      <c r="K4" s="489" t="s">
        <v>361</v>
      </c>
      <c r="L4" s="490" t="s">
        <v>361</v>
      </c>
      <c r="M4" s="490" t="s">
        <v>362</v>
      </c>
      <c r="N4" s="492" t="s">
        <v>362</v>
      </c>
      <c r="O4" s="492" t="s">
        <v>396</v>
      </c>
      <c r="P4" s="492" t="s">
        <v>363</v>
      </c>
      <c r="Q4" s="492" t="s">
        <v>364</v>
      </c>
      <c r="R4" s="490" t="s">
        <v>365</v>
      </c>
    </row>
    <row r="5" spans="1:18" x14ac:dyDescent="0.2">
      <c r="A5" s="479" t="s">
        <v>366</v>
      </c>
      <c r="B5" s="479" t="s">
        <v>299</v>
      </c>
      <c r="C5" s="480">
        <v>911936.37000006298</v>
      </c>
      <c r="D5" s="480"/>
      <c r="E5" s="480">
        <v>5231811.5700000599</v>
      </c>
      <c r="F5" s="480">
        <v>-4319875.2</v>
      </c>
      <c r="G5" s="480">
        <v>-7912043.0999999903</v>
      </c>
      <c r="H5" s="480"/>
      <c r="I5" s="480">
        <v>-4357677.2699999996</v>
      </c>
      <c r="J5" s="480">
        <v>-3554365.83</v>
      </c>
      <c r="K5" s="480">
        <v>8823979.4700000491</v>
      </c>
      <c r="L5" s="480"/>
      <c r="M5" s="480">
        <v>9589488.8400000595</v>
      </c>
      <c r="N5" s="480"/>
      <c r="O5" s="480"/>
      <c r="P5" s="480"/>
      <c r="Q5" s="480">
        <v>9589488.8399999794</v>
      </c>
      <c r="R5" s="480">
        <v>-765509.37000000302</v>
      </c>
    </row>
    <row r="6" spans="1:18" x14ac:dyDescent="0.2">
      <c r="A6" s="485" t="s">
        <v>397</v>
      </c>
      <c r="B6" s="481" t="s">
        <v>398</v>
      </c>
      <c r="C6" s="483">
        <v>22713788</v>
      </c>
      <c r="D6" s="483">
        <v>3552040</v>
      </c>
      <c r="E6" s="483">
        <v>10776847.109999999</v>
      </c>
      <c r="F6" s="483">
        <v>8384900.8899999997</v>
      </c>
      <c r="G6" s="483">
        <v>23719570.219999999</v>
      </c>
      <c r="H6" s="483">
        <v>250589</v>
      </c>
      <c r="I6" s="483">
        <v>8189908.5599999996</v>
      </c>
      <c r="J6" s="483">
        <v>15279072.66</v>
      </c>
      <c r="K6" s="483">
        <v>-1005782.21999999</v>
      </c>
      <c r="L6" s="483">
        <v>3301451</v>
      </c>
      <c r="M6" s="483">
        <v>2586938.5500000101</v>
      </c>
      <c r="N6" s="483">
        <v>1611170</v>
      </c>
      <c r="O6" s="483">
        <v>-431451.93</v>
      </c>
      <c r="P6" s="483">
        <v>-2879340.99</v>
      </c>
      <c r="Q6" s="483">
        <v>4286561.4699999904</v>
      </c>
      <c r="R6" s="483">
        <v>-6894171.7699999996</v>
      </c>
    </row>
    <row r="7" spans="1:18" x14ac:dyDescent="0.2">
      <c r="A7" s="486" t="s">
        <v>399</v>
      </c>
      <c r="B7" s="482" t="s">
        <v>15</v>
      </c>
      <c r="C7" s="483">
        <v>-34042524.899999999</v>
      </c>
      <c r="D7" s="483">
        <v>3552040</v>
      </c>
      <c r="E7" s="483">
        <v>-44873190.140000001</v>
      </c>
      <c r="F7" s="483">
        <v>7278625.2400000002</v>
      </c>
      <c r="G7" s="483">
        <v>-4509602.4400000004</v>
      </c>
      <c r="H7" s="483">
        <v>250589</v>
      </c>
      <c r="I7" s="483">
        <v>-19821759.359999999</v>
      </c>
      <c r="J7" s="483">
        <v>15061567.92</v>
      </c>
      <c r="K7" s="483">
        <v>-29532922.460000001</v>
      </c>
      <c r="L7" s="483">
        <v>3301451</v>
      </c>
      <c r="M7" s="483">
        <v>-25051430.780000001</v>
      </c>
      <c r="N7" s="483">
        <v>1611170</v>
      </c>
      <c r="O7" s="483">
        <v>-431451.93</v>
      </c>
      <c r="P7" s="483">
        <v>-3263193.71</v>
      </c>
      <c r="Q7" s="483">
        <v>-22967955.140000001</v>
      </c>
      <c r="R7" s="483">
        <v>-7782942.6799999997</v>
      </c>
    </row>
    <row r="8" spans="1:18" x14ac:dyDescent="0.2">
      <c r="A8" s="495" t="s">
        <v>400</v>
      </c>
      <c r="B8" s="494" t="s">
        <v>214</v>
      </c>
      <c r="C8" s="483">
        <v>-439211887.11000001</v>
      </c>
      <c r="D8" s="483">
        <v>2854652.63</v>
      </c>
      <c r="E8" s="483">
        <v>-359330683.81</v>
      </c>
      <c r="F8" s="483">
        <v>-82735855.930000007</v>
      </c>
      <c r="G8" s="483">
        <v>-282666581.50999999</v>
      </c>
      <c r="H8" s="483">
        <v>-253671.109999999</v>
      </c>
      <c r="I8" s="483">
        <v>-233514636.08000001</v>
      </c>
      <c r="J8" s="483">
        <v>-48898274.32</v>
      </c>
      <c r="K8" s="483">
        <v>-156545305.59999999</v>
      </c>
      <c r="L8" s="483">
        <v>3108323.74</v>
      </c>
      <c r="M8" s="483">
        <v>-125816047.73</v>
      </c>
      <c r="N8" s="483">
        <v>1480401</v>
      </c>
      <c r="O8" s="483">
        <v>-473474.5</v>
      </c>
      <c r="P8" s="483">
        <v>-6754688.6299999999</v>
      </c>
      <c r="Q8" s="483">
        <v>-120068285.59999999</v>
      </c>
      <c r="R8" s="483">
        <v>-33837581.609999999</v>
      </c>
    </row>
    <row r="9" spans="1:18" x14ac:dyDescent="0.2">
      <c r="A9" s="497" t="s">
        <v>401</v>
      </c>
      <c r="B9" s="496" t="s">
        <v>213</v>
      </c>
      <c r="C9" s="483">
        <v>-946111696.30999994</v>
      </c>
      <c r="D9" s="483">
        <v>57778488.909999996</v>
      </c>
      <c r="E9" s="483">
        <v>-803942512.40999997</v>
      </c>
      <c r="F9" s="483">
        <v>-199947672.81</v>
      </c>
      <c r="G9" s="483">
        <v>-592518201.47000003</v>
      </c>
      <c r="H9" s="483">
        <v>37692283.960000001</v>
      </c>
      <c r="I9" s="483">
        <v>-506366646.75</v>
      </c>
      <c r="J9" s="483">
        <v>-123843838.68000001</v>
      </c>
      <c r="K9" s="483">
        <v>-353593494.83999997</v>
      </c>
      <c r="L9" s="483">
        <v>20086204.949999999</v>
      </c>
      <c r="M9" s="483">
        <v>-297575865.66000003</v>
      </c>
      <c r="N9" s="483">
        <v>13938440.5</v>
      </c>
      <c r="O9" s="483">
        <v>-1402279.2</v>
      </c>
      <c r="P9" s="483">
        <v>-14230044.73</v>
      </c>
      <c r="Q9" s="483">
        <v>-295881982.23000002</v>
      </c>
      <c r="R9" s="483">
        <v>-76103834.129999995</v>
      </c>
    </row>
    <row r="10" spans="1:18" x14ac:dyDescent="0.2">
      <c r="A10" s="497" t="s">
        <v>402</v>
      </c>
      <c r="B10" s="496" t="s">
        <v>403</v>
      </c>
      <c r="C10" s="483">
        <v>506899809.19999999</v>
      </c>
      <c r="D10" s="483">
        <v>-54923836.280000001</v>
      </c>
      <c r="E10" s="483">
        <v>444611828.60000002</v>
      </c>
      <c r="F10" s="483">
        <v>117211816.88</v>
      </c>
      <c r="G10" s="483">
        <v>309851619.95999998</v>
      </c>
      <c r="H10" s="483">
        <v>-37945955.07</v>
      </c>
      <c r="I10" s="483">
        <v>272852010.67000002</v>
      </c>
      <c r="J10" s="483">
        <v>74945564.359999999</v>
      </c>
      <c r="K10" s="483">
        <v>197048189.24000001</v>
      </c>
      <c r="L10" s="483">
        <v>-16977881.210000001</v>
      </c>
      <c r="M10" s="483">
        <v>171759817.93000001</v>
      </c>
      <c r="N10" s="483">
        <v>-12458039.5</v>
      </c>
      <c r="O10" s="483">
        <v>928804.7</v>
      </c>
      <c r="P10" s="483">
        <v>7475356.0999999996</v>
      </c>
      <c r="Q10" s="483">
        <v>175813696.63</v>
      </c>
      <c r="R10" s="483">
        <v>42266252.520000003</v>
      </c>
    </row>
    <row r="11" spans="1:18" x14ac:dyDescent="0.2">
      <c r="A11" s="495" t="s">
        <v>404</v>
      </c>
      <c r="B11" s="494" t="s">
        <v>405</v>
      </c>
      <c r="C11" s="483">
        <v>-5136575.63</v>
      </c>
      <c r="D11" s="483"/>
      <c r="E11" s="483">
        <v>-3972024.86</v>
      </c>
      <c r="F11" s="483">
        <v>-1164550.77</v>
      </c>
      <c r="G11" s="483">
        <v>-4762381.08</v>
      </c>
      <c r="H11" s="483"/>
      <c r="I11" s="483">
        <v>-3847067.39</v>
      </c>
      <c r="J11" s="483">
        <v>-915313.69</v>
      </c>
      <c r="K11" s="483">
        <v>-374194.55000000098</v>
      </c>
      <c r="L11" s="483"/>
      <c r="M11" s="483">
        <v>-124957.47</v>
      </c>
      <c r="N11" s="483"/>
      <c r="O11" s="483"/>
      <c r="P11" s="483"/>
      <c r="Q11" s="483">
        <v>-124957.47000000101</v>
      </c>
      <c r="R11" s="483">
        <v>-249237.08</v>
      </c>
    </row>
    <row r="12" spans="1:18" x14ac:dyDescent="0.2">
      <c r="A12" s="495" t="s">
        <v>406</v>
      </c>
      <c r="B12" s="494" t="s">
        <v>22</v>
      </c>
      <c r="C12" s="483">
        <v>343066528.00999999</v>
      </c>
      <c r="D12" s="483">
        <v>-885378</v>
      </c>
      <c r="E12" s="483">
        <v>267771061.90000001</v>
      </c>
      <c r="F12" s="483">
        <v>76180844.109999999</v>
      </c>
      <c r="G12" s="483">
        <v>231229638.71000001</v>
      </c>
      <c r="H12" s="483">
        <v>-597436</v>
      </c>
      <c r="I12" s="483">
        <v>179675791.49000001</v>
      </c>
      <c r="J12" s="483">
        <v>52151283.219999999</v>
      </c>
      <c r="K12" s="483">
        <v>111836889.3</v>
      </c>
      <c r="L12" s="483">
        <v>-287942</v>
      </c>
      <c r="M12" s="483">
        <v>88095270.409999996</v>
      </c>
      <c r="N12" s="483"/>
      <c r="O12" s="483"/>
      <c r="P12" s="483">
        <v>3641161.14</v>
      </c>
      <c r="Q12" s="483">
        <v>84454109.269999996</v>
      </c>
      <c r="R12" s="483">
        <v>24029560.890000001</v>
      </c>
    </row>
    <row r="13" spans="1:18" x14ac:dyDescent="0.2">
      <c r="A13" s="495" t="s">
        <v>407</v>
      </c>
      <c r="B13" s="494" t="s">
        <v>408</v>
      </c>
      <c r="C13" s="483">
        <v>71963879.75</v>
      </c>
      <c r="D13" s="483"/>
      <c r="E13" s="483">
        <v>56166184.32</v>
      </c>
      <c r="F13" s="483">
        <v>15797695.43</v>
      </c>
      <c r="G13" s="483">
        <v>53068385</v>
      </c>
      <c r="H13" s="483"/>
      <c r="I13" s="483">
        <v>40306776.07</v>
      </c>
      <c r="J13" s="483">
        <v>12761608.93</v>
      </c>
      <c r="K13" s="483">
        <v>18895494.75</v>
      </c>
      <c r="L13" s="483"/>
      <c r="M13" s="483">
        <v>15859408.25</v>
      </c>
      <c r="N13" s="483"/>
      <c r="O13" s="483">
        <v>42022.57</v>
      </c>
      <c r="P13" s="483">
        <v>353109.04</v>
      </c>
      <c r="Q13" s="483">
        <v>15464276.640000001</v>
      </c>
      <c r="R13" s="483">
        <v>3036086.5</v>
      </c>
    </row>
    <row r="14" spans="1:18" x14ac:dyDescent="0.2">
      <c r="A14" s="495" t="s">
        <v>409</v>
      </c>
      <c r="B14" s="494" t="s">
        <v>218</v>
      </c>
      <c r="C14" s="483">
        <v>-4724469.92</v>
      </c>
      <c r="D14" s="483">
        <v>1582765.37</v>
      </c>
      <c r="E14" s="483">
        <v>-5507727.6900000004</v>
      </c>
      <c r="F14" s="483">
        <v>-799507.6</v>
      </c>
      <c r="G14" s="483">
        <v>-1378663.56</v>
      </c>
      <c r="H14" s="483">
        <v>1101696.1100000001</v>
      </c>
      <c r="I14" s="483">
        <v>-2442623.4500000002</v>
      </c>
      <c r="J14" s="483">
        <v>-37736.22</v>
      </c>
      <c r="K14" s="483">
        <v>-3345806.36</v>
      </c>
      <c r="L14" s="483">
        <v>481069.26</v>
      </c>
      <c r="M14" s="483">
        <v>-3065104.24</v>
      </c>
      <c r="N14" s="483">
        <v>130769</v>
      </c>
      <c r="O14" s="483"/>
      <c r="P14" s="483">
        <v>-502775.26</v>
      </c>
      <c r="Q14" s="483">
        <v>-2693097.98</v>
      </c>
      <c r="R14" s="483">
        <v>-761771.38</v>
      </c>
    </row>
    <row r="15" spans="1:18" x14ac:dyDescent="0.2">
      <c r="A15" s="486" t="s">
        <v>410</v>
      </c>
      <c r="B15" s="482" t="s">
        <v>411</v>
      </c>
      <c r="C15" s="483">
        <v>-5931753.3099999996</v>
      </c>
      <c r="D15" s="483"/>
      <c r="E15" s="483">
        <v>4337824.6900000004</v>
      </c>
      <c r="F15" s="483">
        <v>-10269578</v>
      </c>
      <c r="G15" s="483">
        <v>-15160153.310000001</v>
      </c>
      <c r="H15" s="483"/>
      <c r="I15" s="483">
        <v>-6061389.4800000004</v>
      </c>
      <c r="J15" s="483">
        <v>-9098763.8300000001</v>
      </c>
      <c r="K15" s="483">
        <v>9228400</v>
      </c>
      <c r="L15" s="483"/>
      <c r="M15" s="483">
        <v>10399214.17</v>
      </c>
      <c r="N15" s="483"/>
      <c r="O15" s="483"/>
      <c r="P15" s="483">
        <v>361107.27</v>
      </c>
      <c r="Q15" s="483">
        <v>10038106.9</v>
      </c>
      <c r="R15" s="483">
        <v>-1170814.17</v>
      </c>
    </row>
    <row r="16" spans="1:18" x14ac:dyDescent="0.2">
      <c r="A16" s="486" t="s">
        <v>412</v>
      </c>
      <c r="B16" s="482" t="s">
        <v>254</v>
      </c>
      <c r="C16" s="483">
        <v>5514909.4199999999</v>
      </c>
      <c r="D16" s="483"/>
      <c r="E16" s="483">
        <v>653969.88</v>
      </c>
      <c r="F16" s="483">
        <v>4860939.54</v>
      </c>
      <c r="G16" s="483">
        <v>5506819.5599999996</v>
      </c>
      <c r="H16" s="483"/>
      <c r="I16" s="483">
        <v>653314.41</v>
      </c>
      <c r="J16" s="483">
        <v>4853505.1500000004</v>
      </c>
      <c r="K16" s="483">
        <v>8089.8599999990001</v>
      </c>
      <c r="L16" s="483"/>
      <c r="M16" s="483">
        <v>655.47</v>
      </c>
      <c r="N16" s="483"/>
      <c r="O16" s="483"/>
      <c r="P16" s="483">
        <v>770.91</v>
      </c>
      <c r="Q16" s="483">
        <v>-115.44</v>
      </c>
      <c r="R16" s="483">
        <v>7434.39</v>
      </c>
    </row>
    <row r="17" spans="1:18" x14ac:dyDescent="0.2">
      <c r="A17" s="486" t="s">
        <v>413</v>
      </c>
      <c r="B17" s="482" t="s">
        <v>220</v>
      </c>
      <c r="C17" s="483">
        <v>57173156.789999999</v>
      </c>
      <c r="D17" s="483"/>
      <c r="E17" s="483">
        <v>50658242.68</v>
      </c>
      <c r="F17" s="483">
        <v>6514914.1100000003</v>
      </c>
      <c r="G17" s="483">
        <v>37882506.409999996</v>
      </c>
      <c r="H17" s="483"/>
      <c r="I17" s="483">
        <v>33419742.989999998</v>
      </c>
      <c r="J17" s="483">
        <v>4462763.42</v>
      </c>
      <c r="K17" s="483">
        <v>19290650.379999999</v>
      </c>
      <c r="L17" s="483"/>
      <c r="M17" s="483">
        <v>17238499.690000001</v>
      </c>
      <c r="N17" s="483"/>
      <c r="O17" s="483"/>
      <c r="P17" s="483">
        <v>21974.54</v>
      </c>
      <c r="Q17" s="483">
        <v>17216525.149999999</v>
      </c>
      <c r="R17" s="483">
        <v>2052150.69</v>
      </c>
    </row>
    <row r="18" spans="1:18" x14ac:dyDescent="0.2">
      <c r="A18" s="487" t="s">
        <v>393</v>
      </c>
      <c r="B18" s="484" t="s">
        <v>299</v>
      </c>
      <c r="C18" s="483">
        <v>-21801851.629999999</v>
      </c>
      <c r="D18" s="483">
        <v>-3552040</v>
      </c>
      <c r="E18" s="483">
        <v>-5545035.5399999497</v>
      </c>
      <c r="F18" s="483">
        <v>-12704776.09</v>
      </c>
      <c r="G18" s="483">
        <v>-31631613.32</v>
      </c>
      <c r="H18" s="483">
        <v>-250589</v>
      </c>
      <c r="I18" s="483">
        <v>-12547585.83</v>
      </c>
      <c r="J18" s="483">
        <v>-18833438.489999998</v>
      </c>
      <c r="K18" s="483">
        <v>9829761.6900000498</v>
      </c>
      <c r="L18" s="483">
        <v>-3301451</v>
      </c>
      <c r="M18" s="483">
        <v>7002550.2900000503</v>
      </c>
      <c r="N18" s="483">
        <v>-1611170</v>
      </c>
      <c r="O18" s="483">
        <v>431451.93</v>
      </c>
      <c r="P18" s="483">
        <v>2879340.99</v>
      </c>
      <c r="Q18" s="483">
        <v>5302927.37</v>
      </c>
      <c r="R18" s="483">
        <v>6128662.4000000004</v>
      </c>
    </row>
    <row r="19" spans="1:18" x14ac:dyDescent="0.2">
      <c r="A19" s="506"/>
      <c r="B19" s="506"/>
      <c r="C19" s="506"/>
      <c r="D19" s="506"/>
      <c r="E19" s="506"/>
      <c r="F19" s="506"/>
      <c r="G19" s="506"/>
      <c r="H19" s="506"/>
      <c r="I19" s="506"/>
      <c r="J19" s="506"/>
      <c r="K19" s="506"/>
      <c r="L19" s="506"/>
      <c r="M19" s="506"/>
      <c r="N19" s="506"/>
      <c r="O19" s="506"/>
      <c r="P19" s="506"/>
      <c r="Q19" s="506"/>
      <c r="R19" s="506"/>
    </row>
    <row r="21" spans="1:18" x14ac:dyDescent="0.2">
      <c r="A21" s="184" t="s">
        <v>422</v>
      </c>
      <c r="B21">
        <v>0.83281000000000005</v>
      </c>
    </row>
    <row r="23" spans="1:18" x14ac:dyDescent="0.2">
      <c r="A23" s="184" t="s">
        <v>420</v>
      </c>
      <c r="B23" s="505">
        <f>P9</f>
        <v>-14230044.73</v>
      </c>
    </row>
    <row r="25" spans="1:18" x14ac:dyDescent="0.2">
      <c r="A25" s="184" t="s">
        <v>421</v>
      </c>
      <c r="B25" s="207">
        <f>B23/B21</f>
        <v>-17086784.176462818</v>
      </c>
    </row>
  </sheetData>
  <pageMargins left="0.7" right="0.7" top="0.75" bottom="0.75" header="0.3" footer="0.3"/>
  <customProperties>
    <customPr name="_pios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T28"/>
  <sheetViews>
    <sheetView topLeftCell="A7" workbookViewId="0"/>
  </sheetViews>
  <sheetFormatPr defaultRowHeight="12.75" x14ac:dyDescent="0.2"/>
  <cols>
    <col min="1" max="1" width="28.5703125" bestFit="1" customWidth="1"/>
    <col min="2" max="2" width="20.42578125" bestFit="1" customWidth="1"/>
    <col min="3" max="3" width="16.5703125" bestFit="1" customWidth="1"/>
    <col min="4" max="4" width="14.28515625" bestFit="1" customWidth="1"/>
    <col min="5" max="5" width="15.7109375" bestFit="1" customWidth="1"/>
    <col min="6" max="6" width="14.28515625" bestFit="1" customWidth="1"/>
    <col min="7" max="7" width="15" bestFit="1" customWidth="1"/>
    <col min="8" max="10" width="15.7109375" bestFit="1" customWidth="1"/>
    <col min="11" max="11" width="14.28515625" bestFit="1" customWidth="1"/>
    <col min="12" max="12" width="15.7109375" bestFit="1" customWidth="1"/>
    <col min="13" max="13" width="14.28515625" bestFit="1" customWidth="1"/>
    <col min="14" max="14" width="15" bestFit="1" customWidth="1"/>
    <col min="15" max="17" width="15.7109375" bestFit="1" customWidth="1"/>
    <col min="18" max="18" width="14.28515625" bestFit="1" customWidth="1"/>
    <col min="19" max="19" width="15.7109375" bestFit="1" customWidth="1"/>
    <col min="20" max="20" width="15" bestFit="1" customWidth="1"/>
  </cols>
  <sheetData>
    <row r="1" spans="1:20" x14ac:dyDescent="0.2">
      <c r="A1" s="488" t="s">
        <v>349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</row>
    <row r="2" spans="1:20" x14ac:dyDescent="0.2">
      <c r="A2" s="477" t="s">
        <v>299</v>
      </c>
      <c r="B2" s="477" t="s">
        <v>299</v>
      </c>
      <c r="C2" s="478" t="s">
        <v>350</v>
      </c>
      <c r="D2" s="478" t="s">
        <v>299</v>
      </c>
      <c r="E2" s="478" t="s">
        <v>299</v>
      </c>
      <c r="F2" s="478" t="s">
        <v>299</v>
      </c>
      <c r="G2" s="478" t="s">
        <v>299</v>
      </c>
      <c r="H2" s="478" t="s">
        <v>299</v>
      </c>
      <c r="I2" s="478" t="s">
        <v>299</v>
      </c>
      <c r="J2" s="478" t="s">
        <v>351</v>
      </c>
      <c r="K2" s="478" t="s">
        <v>299</v>
      </c>
      <c r="L2" s="478" t="s">
        <v>299</v>
      </c>
      <c r="M2" s="478" t="s">
        <v>299</v>
      </c>
      <c r="N2" s="478" t="s">
        <v>299</v>
      </c>
      <c r="O2" s="478" t="s">
        <v>299</v>
      </c>
      <c r="P2" s="478" t="s">
        <v>299</v>
      </c>
      <c r="Q2" s="478" t="s">
        <v>352</v>
      </c>
      <c r="R2" s="478" t="s">
        <v>299</v>
      </c>
      <c r="S2" s="478" t="s">
        <v>299</v>
      </c>
      <c r="T2" s="478" t="s">
        <v>299</v>
      </c>
    </row>
    <row r="3" spans="1:20" ht="33.75" x14ac:dyDescent="0.2">
      <c r="A3" s="477" t="s">
        <v>299</v>
      </c>
      <c r="B3" s="477" t="s">
        <v>353</v>
      </c>
      <c r="C3" s="489" t="s">
        <v>27</v>
      </c>
      <c r="D3" s="491" t="s">
        <v>354</v>
      </c>
      <c r="E3" s="491" t="s">
        <v>355</v>
      </c>
      <c r="F3" s="493" t="s">
        <v>356</v>
      </c>
      <c r="G3" s="493" t="s">
        <v>357</v>
      </c>
      <c r="H3" s="493" t="s">
        <v>358</v>
      </c>
      <c r="I3" s="491" t="s">
        <v>359</v>
      </c>
      <c r="J3" s="489" t="s">
        <v>27</v>
      </c>
      <c r="K3" s="491" t="s">
        <v>354</v>
      </c>
      <c r="L3" s="491" t="s">
        <v>355</v>
      </c>
      <c r="M3" s="493" t="s">
        <v>356</v>
      </c>
      <c r="N3" s="493" t="s">
        <v>357</v>
      </c>
      <c r="O3" s="493" t="s">
        <v>358</v>
      </c>
      <c r="P3" s="491" t="s">
        <v>359</v>
      </c>
      <c r="Q3" s="489" t="s">
        <v>27</v>
      </c>
      <c r="R3" s="491" t="s">
        <v>354</v>
      </c>
      <c r="S3" s="491" t="s">
        <v>355</v>
      </c>
      <c r="T3" s="491" t="s">
        <v>359</v>
      </c>
    </row>
    <row r="4" spans="1:20" x14ac:dyDescent="0.2">
      <c r="A4" s="477" t="s">
        <v>360</v>
      </c>
      <c r="B4" s="477" t="s">
        <v>299</v>
      </c>
      <c r="C4" s="489" t="s">
        <v>361</v>
      </c>
      <c r="D4" s="490" t="s">
        <v>361</v>
      </c>
      <c r="E4" s="490" t="s">
        <v>362</v>
      </c>
      <c r="F4" s="492" t="s">
        <v>362</v>
      </c>
      <c r="G4" s="492" t="s">
        <v>363</v>
      </c>
      <c r="H4" s="492" t="s">
        <v>364</v>
      </c>
      <c r="I4" s="490" t="s">
        <v>365</v>
      </c>
      <c r="J4" s="489" t="s">
        <v>361</v>
      </c>
      <c r="K4" s="490" t="s">
        <v>361</v>
      </c>
      <c r="L4" s="490" t="s">
        <v>362</v>
      </c>
      <c r="M4" s="492" t="s">
        <v>362</v>
      </c>
      <c r="N4" s="492" t="s">
        <v>363</v>
      </c>
      <c r="O4" s="492" t="s">
        <v>364</v>
      </c>
      <c r="P4" s="490" t="s">
        <v>365</v>
      </c>
      <c r="Q4" s="489" t="s">
        <v>361</v>
      </c>
      <c r="R4" s="490" t="s">
        <v>361</v>
      </c>
      <c r="S4" s="490" t="s">
        <v>362</v>
      </c>
      <c r="T4" s="490" t="s">
        <v>365</v>
      </c>
    </row>
    <row r="5" spans="1:20" x14ac:dyDescent="0.2">
      <c r="A5" s="479" t="s">
        <v>366</v>
      </c>
      <c r="B5" s="479" t="s">
        <v>299</v>
      </c>
      <c r="C5" s="480">
        <v>-49679768.3400001</v>
      </c>
      <c r="D5" s="480"/>
      <c r="E5" s="480">
        <v>-48369692.990000099</v>
      </c>
      <c r="F5" s="480"/>
      <c r="G5" s="480"/>
      <c r="H5" s="480">
        <v>-48369692.989999898</v>
      </c>
      <c r="I5" s="480">
        <v>-1310075.3500000101</v>
      </c>
      <c r="J5" s="480">
        <v>911936.37000005401</v>
      </c>
      <c r="K5" s="480"/>
      <c r="L5" s="480">
        <v>5231811.5700000497</v>
      </c>
      <c r="M5" s="480"/>
      <c r="N5" s="480"/>
      <c r="O5" s="480">
        <v>5231811.5699999603</v>
      </c>
      <c r="P5" s="480">
        <v>-4319875.2</v>
      </c>
      <c r="Q5" s="480">
        <v>-50591704.710000098</v>
      </c>
      <c r="R5" s="480"/>
      <c r="S5" s="480">
        <v>-53601504.560000099</v>
      </c>
      <c r="T5" s="480">
        <v>3009799.8499999898</v>
      </c>
    </row>
    <row r="6" spans="1:20" x14ac:dyDescent="0.2">
      <c r="A6" s="485" t="s">
        <v>367</v>
      </c>
      <c r="B6" s="481" t="s">
        <v>368</v>
      </c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</row>
    <row r="7" spans="1:20" x14ac:dyDescent="0.2">
      <c r="A7" s="486" t="s">
        <v>369</v>
      </c>
      <c r="B7" s="482" t="s">
        <v>370</v>
      </c>
      <c r="C7" s="483">
        <v>1041070788.42</v>
      </c>
      <c r="D7" s="483">
        <v>-1010957.42</v>
      </c>
      <c r="E7" s="483">
        <v>966685066.51999998</v>
      </c>
      <c r="F7" s="483">
        <v>-1516254.01</v>
      </c>
      <c r="G7" s="483">
        <v>31395355.559999999</v>
      </c>
      <c r="H7" s="483">
        <v>936805964.97000003</v>
      </c>
      <c r="I7" s="483">
        <v>75396679.319999993</v>
      </c>
      <c r="J7" s="483">
        <v>935307514.13</v>
      </c>
      <c r="K7" s="483">
        <v>-3038120.48</v>
      </c>
      <c r="L7" s="483">
        <v>874543997.11000001</v>
      </c>
      <c r="M7" s="483">
        <v>-1611493.27</v>
      </c>
      <c r="N7" s="483">
        <v>24811938.489999998</v>
      </c>
      <c r="O7" s="483">
        <v>851343551.88999999</v>
      </c>
      <c r="P7" s="483">
        <v>63801637.5</v>
      </c>
      <c r="Q7" s="483">
        <v>105763274.29000001</v>
      </c>
      <c r="R7" s="483">
        <v>2027163.06</v>
      </c>
      <c r="S7" s="483">
        <v>92141069.409999803</v>
      </c>
      <c r="T7" s="483">
        <v>11595041.82</v>
      </c>
    </row>
    <row r="8" spans="1:20" x14ac:dyDescent="0.2">
      <c r="A8" s="495" t="s">
        <v>371</v>
      </c>
      <c r="B8" s="494" t="s">
        <v>372</v>
      </c>
      <c r="C8" s="483">
        <v>290439022.08999997</v>
      </c>
      <c r="D8" s="483">
        <v>-1648911</v>
      </c>
      <c r="E8" s="483">
        <v>211682260.97</v>
      </c>
      <c r="F8" s="483">
        <v>-1516142.87</v>
      </c>
      <c r="G8" s="483">
        <v>10027553.390000001</v>
      </c>
      <c r="H8" s="483">
        <v>203170850.44999999</v>
      </c>
      <c r="I8" s="483">
        <v>80405672.120000005</v>
      </c>
      <c r="J8" s="483">
        <v>362342105.27999997</v>
      </c>
      <c r="K8" s="483">
        <v>-3038120.48</v>
      </c>
      <c r="L8" s="483">
        <v>246162135.49000001</v>
      </c>
      <c r="M8" s="483">
        <v>-1611347.11</v>
      </c>
      <c r="N8" s="483">
        <v>10098516.560000001</v>
      </c>
      <c r="O8" s="483">
        <v>237674966.03999999</v>
      </c>
      <c r="P8" s="483">
        <v>119218090.27</v>
      </c>
      <c r="Q8" s="483">
        <v>-71903083.189999893</v>
      </c>
      <c r="R8" s="483">
        <v>1389209.48</v>
      </c>
      <c r="S8" s="483">
        <v>-34479874.520000003</v>
      </c>
      <c r="T8" s="483">
        <v>-38812418.149999999</v>
      </c>
    </row>
    <row r="9" spans="1:20" x14ac:dyDescent="0.2">
      <c r="A9" s="495" t="s">
        <v>373</v>
      </c>
      <c r="B9" s="494" t="s">
        <v>374</v>
      </c>
      <c r="C9" s="483">
        <v>750631766.33000004</v>
      </c>
      <c r="D9" s="483">
        <v>637953.57999999996</v>
      </c>
      <c r="E9" s="483">
        <v>755002805.54999995</v>
      </c>
      <c r="F9" s="483">
        <v>-111.14</v>
      </c>
      <c r="G9" s="483">
        <v>21367802.170000002</v>
      </c>
      <c r="H9" s="483">
        <v>733635114.51999998</v>
      </c>
      <c r="I9" s="483">
        <v>-5008992.8</v>
      </c>
      <c r="J9" s="483">
        <v>572965408.85000002</v>
      </c>
      <c r="K9" s="483"/>
      <c r="L9" s="483">
        <v>628381861.62</v>
      </c>
      <c r="M9" s="483">
        <v>-146.16</v>
      </c>
      <c r="N9" s="483">
        <v>14713421.93</v>
      </c>
      <c r="O9" s="483">
        <v>613668585.85000002</v>
      </c>
      <c r="P9" s="483">
        <v>-55416452.770000003</v>
      </c>
      <c r="Q9" s="483">
        <v>177666357.47999999</v>
      </c>
      <c r="R9" s="483">
        <v>637953.57999999996</v>
      </c>
      <c r="S9" s="483">
        <v>126620943.93000001</v>
      </c>
      <c r="T9" s="483">
        <v>50407459.969999999</v>
      </c>
    </row>
    <row r="10" spans="1:20" x14ac:dyDescent="0.2">
      <c r="A10" s="497" t="s">
        <v>375</v>
      </c>
      <c r="B10" s="496" t="s">
        <v>376</v>
      </c>
      <c r="C10" s="483">
        <v>-448741670.31999999</v>
      </c>
      <c r="D10" s="483"/>
      <c r="E10" s="483">
        <v>-324242547.06999999</v>
      </c>
      <c r="F10" s="483">
        <v>-111.140000001</v>
      </c>
      <c r="G10" s="483">
        <v>11838699.1</v>
      </c>
      <c r="H10" s="483">
        <v>-336081135.02999997</v>
      </c>
      <c r="I10" s="483">
        <v>-124499123.25</v>
      </c>
      <c r="J10" s="483">
        <v>-647089161.59000003</v>
      </c>
      <c r="K10" s="483"/>
      <c r="L10" s="483">
        <v>-452165886.25999999</v>
      </c>
      <c r="M10" s="483">
        <v>-146.16</v>
      </c>
      <c r="N10" s="483">
        <v>1978868.52</v>
      </c>
      <c r="O10" s="483">
        <v>-454144608.62</v>
      </c>
      <c r="P10" s="483">
        <v>-194923275.33000001</v>
      </c>
      <c r="Q10" s="483">
        <v>198347491.27000001</v>
      </c>
      <c r="R10" s="483"/>
      <c r="S10" s="483">
        <v>127923339.19</v>
      </c>
      <c r="T10" s="483">
        <v>70424152.079999894</v>
      </c>
    </row>
    <row r="11" spans="1:20" x14ac:dyDescent="0.2">
      <c r="A11" s="497" t="s">
        <v>377</v>
      </c>
      <c r="B11" s="496" t="s">
        <v>378</v>
      </c>
      <c r="C11" s="483">
        <v>4037077.47</v>
      </c>
      <c r="D11" s="483"/>
      <c r="E11" s="483">
        <v>2956844.49</v>
      </c>
      <c r="F11" s="483"/>
      <c r="G11" s="483"/>
      <c r="H11" s="483">
        <v>2956844.49</v>
      </c>
      <c r="I11" s="483">
        <v>1080232.98</v>
      </c>
      <c r="J11" s="483">
        <v>3482542.7</v>
      </c>
      <c r="K11" s="483"/>
      <c r="L11" s="483">
        <v>2003317.61</v>
      </c>
      <c r="M11" s="483"/>
      <c r="N11" s="483">
        <v>0.03</v>
      </c>
      <c r="O11" s="483">
        <v>2003317.58</v>
      </c>
      <c r="P11" s="483">
        <v>1479225.09</v>
      </c>
      <c r="Q11" s="483">
        <v>554534.77</v>
      </c>
      <c r="R11" s="483"/>
      <c r="S11" s="483">
        <v>953526.88</v>
      </c>
      <c r="T11" s="483">
        <v>-398992.11</v>
      </c>
    </row>
    <row r="12" spans="1:20" x14ac:dyDescent="0.2">
      <c r="A12" s="497" t="s">
        <v>379</v>
      </c>
      <c r="B12" s="496" t="s">
        <v>380</v>
      </c>
      <c r="C12" s="483">
        <v>75289015.409999996</v>
      </c>
      <c r="D12" s="483"/>
      <c r="E12" s="483">
        <v>66224709.270000003</v>
      </c>
      <c r="F12" s="483"/>
      <c r="G12" s="483"/>
      <c r="H12" s="483">
        <v>66224709.270000003</v>
      </c>
      <c r="I12" s="483">
        <v>9064306.1400000006</v>
      </c>
      <c r="J12" s="483">
        <v>75359604.150000006</v>
      </c>
      <c r="K12" s="483"/>
      <c r="L12" s="483">
        <v>65245358.369999997</v>
      </c>
      <c r="M12" s="483"/>
      <c r="N12" s="483"/>
      <c r="O12" s="483">
        <v>65245358.369999997</v>
      </c>
      <c r="P12" s="483">
        <v>10114245.779999999</v>
      </c>
      <c r="Q12" s="483">
        <v>-70588.740000010002</v>
      </c>
      <c r="R12" s="483"/>
      <c r="S12" s="483">
        <v>979350.90000000596</v>
      </c>
      <c r="T12" s="483">
        <v>-1049939.6399999999</v>
      </c>
    </row>
    <row r="13" spans="1:20" x14ac:dyDescent="0.2">
      <c r="A13" s="497" t="s">
        <v>381</v>
      </c>
      <c r="B13" s="496" t="s">
        <v>382</v>
      </c>
      <c r="C13" s="483">
        <v>694322517.70000005</v>
      </c>
      <c r="D13" s="483"/>
      <c r="E13" s="483">
        <v>598988925.67999995</v>
      </c>
      <c r="F13" s="483"/>
      <c r="G13" s="483">
        <v>9877106.0199999996</v>
      </c>
      <c r="H13" s="483">
        <v>589111819.65999997</v>
      </c>
      <c r="I13" s="483">
        <v>95333592.019999996</v>
      </c>
      <c r="J13" s="483">
        <v>720477785.71000004</v>
      </c>
      <c r="K13" s="483"/>
      <c r="L13" s="483">
        <v>608106203.90999997</v>
      </c>
      <c r="M13" s="483"/>
      <c r="N13" s="483">
        <v>13191032.949999999</v>
      </c>
      <c r="O13" s="483">
        <v>594915170.96000004</v>
      </c>
      <c r="P13" s="483">
        <v>112371581.8</v>
      </c>
      <c r="Q13" s="483">
        <v>-26155268.009999901</v>
      </c>
      <c r="R13" s="483"/>
      <c r="S13" s="483">
        <v>-9117278.2299998999</v>
      </c>
      <c r="T13" s="483">
        <v>-17037989.780000001</v>
      </c>
    </row>
    <row r="14" spans="1:20" x14ac:dyDescent="0.2">
      <c r="A14" s="497" t="s">
        <v>383</v>
      </c>
      <c r="B14" s="496" t="s">
        <v>384</v>
      </c>
      <c r="C14" s="483">
        <v>342745001.01999998</v>
      </c>
      <c r="D14" s="483">
        <v>637953.57999999996</v>
      </c>
      <c r="E14" s="483">
        <v>342439397.08999997</v>
      </c>
      <c r="F14" s="483"/>
      <c r="G14" s="483">
        <v>3724.2</v>
      </c>
      <c r="H14" s="483">
        <v>342435672.88999999</v>
      </c>
      <c r="I14" s="483">
        <v>-332349.65000000002</v>
      </c>
      <c r="J14" s="483">
        <v>346649124</v>
      </c>
      <c r="K14" s="483"/>
      <c r="L14" s="483">
        <v>346649124.02999997</v>
      </c>
      <c r="M14" s="483"/>
      <c r="N14" s="483">
        <v>6063.6399999989999</v>
      </c>
      <c r="O14" s="483">
        <v>346643060.38999999</v>
      </c>
      <c r="P14" s="483">
        <v>-2.9999998999999999E-2</v>
      </c>
      <c r="Q14" s="483">
        <v>-3904122.98000002</v>
      </c>
      <c r="R14" s="483">
        <v>637953.57999999996</v>
      </c>
      <c r="S14" s="483">
        <v>-4209726.9400000004</v>
      </c>
      <c r="T14" s="483">
        <v>-332349.62000000098</v>
      </c>
    </row>
    <row r="15" spans="1:20" x14ac:dyDescent="0.2">
      <c r="A15" s="497" t="s">
        <v>385</v>
      </c>
      <c r="B15" s="496" t="s">
        <v>386</v>
      </c>
      <c r="C15" s="483">
        <v>80276771.230000004</v>
      </c>
      <c r="D15" s="483"/>
      <c r="E15" s="483">
        <v>65932422.270000003</v>
      </c>
      <c r="F15" s="483"/>
      <c r="G15" s="483">
        <v>-351727.15</v>
      </c>
      <c r="H15" s="483">
        <v>66284149.420000002</v>
      </c>
      <c r="I15" s="483">
        <v>14344348.960000001</v>
      </c>
      <c r="J15" s="483">
        <v>72263487.879999995</v>
      </c>
      <c r="K15" s="483"/>
      <c r="L15" s="483">
        <v>56721717.960000001</v>
      </c>
      <c r="M15" s="483"/>
      <c r="N15" s="483">
        <v>-462543.21</v>
      </c>
      <c r="O15" s="483">
        <v>57184261.170000002</v>
      </c>
      <c r="P15" s="483">
        <v>15541769.92</v>
      </c>
      <c r="Q15" s="483">
        <v>8013283.3499999903</v>
      </c>
      <c r="R15" s="483"/>
      <c r="S15" s="483">
        <v>9210704.3100000005</v>
      </c>
      <c r="T15" s="483">
        <v>-1197420.96</v>
      </c>
    </row>
    <row r="16" spans="1:20" x14ac:dyDescent="0.2">
      <c r="A16" s="497" t="s">
        <v>387</v>
      </c>
      <c r="B16" s="496" t="s">
        <v>388</v>
      </c>
      <c r="C16" s="483">
        <v>2703053.82</v>
      </c>
      <c r="D16" s="483"/>
      <c r="E16" s="483">
        <v>2703053.82</v>
      </c>
      <c r="F16" s="483"/>
      <c r="G16" s="483"/>
      <c r="H16" s="483">
        <v>2703053.82</v>
      </c>
      <c r="I16" s="483"/>
      <c r="J16" s="483">
        <v>1822026</v>
      </c>
      <c r="K16" s="483"/>
      <c r="L16" s="483">
        <v>1822026</v>
      </c>
      <c r="M16" s="483"/>
      <c r="N16" s="483"/>
      <c r="O16" s="483">
        <v>1822026</v>
      </c>
      <c r="P16" s="483"/>
      <c r="Q16" s="483">
        <v>881027.82</v>
      </c>
      <c r="R16" s="483"/>
      <c r="S16" s="483">
        <v>881027.82</v>
      </c>
      <c r="T16" s="483"/>
    </row>
    <row r="17" spans="1:20" x14ac:dyDescent="0.2">
      <c r="A17" s="486" t="s">
        <v>389</v>
      </c>
      <c r="B17" s="482" t="s">
        <v>390</v>
      </c>
      <c r="C17" s="483">
        <v>-514313893.50999999</v>
      </c>
      <c r="D17" s="483"/>
      <c r="E17" s="483">
        <v>-465291089.89999998</v>
      </c>
      <c r="F17" s="483">
        <v>0.01</v>
      </c>
      <c r="G17" s="483">
        <v>-7822292.7400000002</v>
      </c>
      <c r="H17" s="483">
        <v>-457468797.17000002</v>
      </c>
      <c r="I17" s="483">
        <v>-49022803.609999999</v>
      </c>
      <c r="J17" s="483">
        <v>-559999431.02999997</v>
      </c>
      <c r="K17" s="483">
        <v>13.48</v>
      </c>
      <c r="L17" s="483">
        <v>-482382163.54000002</v>
      </c>
      <c r="M17" s="483">
        <v>323.27</v>
      </c>
      <c r="N17" s="483">
        <v>-6789319.5499999998</v>
      </c>
      <c r="O17" s="483">
        <v>-475593167.25999999</v>
      </c>
      <c r="P17" s="483">
        <v>-77617280.969999999</v>
      </c>
      <c r="Q17" s="483">
        <v>45685537.519999899</v>
      </c>
      <c r="R17" s="483">
        <v>-13.48</v>
      </c>
      <c r="S17" s="483">
        <v>17091073.640000001</v>
      </c>
      <c r="T17" s="483">
        <v>28594477.359999999</v>
      </c>
    </row>
    <row r="18" spans="1:20" x14ac:dyDescent="0.2">
      <c r="A18" s="486" t="s">
        <v>391</v>
      </c>
      <c r="B18" s="482" t="s">
        <v>392</v>
      </c>
      <c r="C18" s="483">
        <v>-526756894.91000003</v>
      </c>
      <c r="D18" s="483">
        <v>1010957.42</v>
      </c>
      <c r="E18" s="483">
        <v>-501393976.62</v>
      </c>
      <c r="F18" s="483">
        <v>1516254</v>
      </c>
      <c r="G18" s="483">
        <v>-23573062.82</v>
      </c>
      <c r="H18" s="483">
        <v>-479337167.80000001</v>
      </c>
      <c r="I18" s="483">
        <v>-26373875.710000001</v>
      </c>
      <c r="J18" s="483">
        <v>-375308083.10000002</v>
      </c>
      <c r="K18" s="483">
        <v>3038107</v>
      </c>
      <c r="L18" s="483">
        <v>-392161833.56999999</v>
      </c>
      <c r="M18" s="483">
        <v>1611170</v>
      </c>
      <c r="N18" s="483">
        <v>-18022618.940000001</v>
      </c>
      <c r="O18" s="483">
        <v>-375750384.63</v>
      </c>
      <c r="P18" s="483">
        <v>13815643.470000001</v>
      </c>
      <c r="Q18" s="483">
        <v>-151448811.81</v>
      </c>
      <c r="R18" s="483">
        <v>-2027149.58</v>
      </c>
      <c r="S18" s="483">
        <v>-109232143.05</v>
      </c>
      <c r="T18" s="483">
        <v>-40189519.18</v>
      </c>
    </row>
    <row r="19" spans="1:20" x14ac:dyDescent="0.2">
      <c r="A19" s="487" t="s">
        <v>393</v>
      </c>
      <c r="B19" s="484" t="s">
        <v>299</v>
      </c>
      <c r="C19" s="483">
        <v>-49679768.340000004</v>
      </c>
      <c r="D19" s="483"/>
      <c r="E19" s="483">
        <v>-48369692.990000002</v>
      </c>
      <c r="F19" s="483"/>
      <c r="G19" s="483"/>
      <c r="H19" s="483">
        <v>-48369692.990000002</v>
      </c>
      <c r="I19" s="483">
        <v>-1310075.3500000001</v>
      </c>
      <c r="J19" s="483">
        <v>911936.36999999301</v>
      </c>
      <c r="K19" s="483"/>
      <c r="L19" s="483">
        <v>5231811.5699999901</v>
      </c>
      <c r="M19" s="483"/>
      <c r="N19" s="483"/>
      <c r="O19" s="483">
        <v>5231811.5700000199</v>
      </c>
      <c r="P19" s="483">
        <v>-4319875.2</v>
      </c>
      <c r="Q19" s="483">
        <v>-50591704.710000001</v>
      </c>
      <c r="R19" s="483"/>
      <c r="S19" s="483">
        <v>-53601504.560000002</v>
      </c>
      <c r="T19" s="483">
        <v>3009799.85</v>
      </c>
    </row>
    <row r="21" spans="1:20" x14ac:dyDescent="0.2">
      <c r="A21" s="184" t="s">
        <v>414</v>
      </c>
      <c r="B21">
        <v>0.68715000000000004</v>
      </c>
    </row>
    <row r="22" spans="1:20" x14ac:dyDescent="0.2">
      <c r="A22" s="184" t="s">
        <v>415</v>
      </c>
      <c r="B22">
        <v>0.80147000000000002</v>
      </c>
    </row>
    <row r="24" spans="1:20" x14ac:dyDescent="0.2">
      <c r="A24" s="184" t="s">
        <v>416</v>
      </c>
      <c r="B24" s="505">
        <f>SUM(G13,G14)</f>
        <v>9880830.2199999988</v>
      </c>
    </row>
    <row r="25" spans="1:20" x14ac:dyDescent="0.2">
      <c r="A25" s="184" t="s">
        <v>419</v>
      </c>
      <c r="B25" s="505">
        <f>SUM(N13:N14)</f>
        <v>13197096.589999998</v>
      </c>
    </row>
    <row r="27" spans="1:20" x14ac:dyDescent="0.2">
      <c r="A27" s="184" t="s">
        <v>417</v>
      </c>
      <c r="B27" s="207">
        <f>B24/B21</f>
        <v>14379437.124354213</v>
      </c>
    </row>
    <row r="28" spans="1:20" x14ac:dyDescent="0.2">
      <c r="A28" s="184" t="s">
        <v>418</v>
      </c>
      <c r="B28" s="207">
        <f>B25/B22</f>
        <v>16466114.252560917</v>
      </c>
    </row>
  </sheetData>
  <pageMargins left="0.7" right="0.7" top="0.75" bottom="0.75" header="0.3" footer="0.3"/>
  <customProperties>
    <customPr name="_pios_id" r:id="rId1"/>
  </customProperties>
  <ignoredErrors>
    <ignoredError sqref="B25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H162"/>
  <sheetViews>
    <sheetView workbookViewId="0"/>
  </sheetViews>
  <sheetFormatPr defaultRowHeight="12.75" x14ac:dyDescent="0.2"/>
  <cols>
    <col min="1" max="1" width="51.42578125" style="504" bestFit="1" customWidth="1"/>
    <col min="2" max="2" width="6.28515625" style="504" bestFit="1" customWidth="1"/>
    <col min="3" max="4" width="10.5703125" style="504" bestFit="1" customWidth="1"/>
    <col min="5" max="5" width="10.7109375" style="504" bestFit="1" customWidth="1"/>
    <col min="6" max="6" width="9.28515625" style="504"/>
    <col min="7" max="7" width="42.7109375" style="504" bestFit="1" customWidth="1"/>
    <col min="8" max="8" width="16.7109375" style="504" bestFit="1" customWidth="1"/>
    <col min="9" max="256" width="9.28515625" style="504"/>
    <col min="257" max="257" width="51.42578125" style="504" bestFit="1" customWidth="1"/>
    <col min="258" max="258" width="6.28515625" style="504" bestFit="1" customWidth="1"/>
    <col min="259" max="260" width="10.5703125" style="504" bestFit="1" customWidth="1"/>
    <col min="261" max="261" width="10.7109375" style="504" bestFit="1" customWidth="1"/>
    <col min="262" max="512" width="9.28515625" style="504"/>
    <col min="513" max="513" width="51.42578125" style="504" bestFit="1" customWidth="1"/>
    <col min="514" max="514" width="6.28515625" style="504" bestFit="1" customWidth="1"/>
    <col min="515" max="516" width="10.5703125" style="504" bestFit="1" customWidth="1"/>
    <col min="517" max="517" width="10.7109375" style="504" bestFit="1" customWidth="1"/>
    <col min="518" max="768" width="9.28515625" style="504"/>
    <col min="769" max="769" width="51.42578125" style="504" bestFit="1" customWidth="1"/>
    <col min="770" max="770" width="6.28515625" style="504" bestFit="1" customWidth="1"/>
    <col min="771" max="772" width="10.5703125" style="504" bestFit="1" customWidth="1"/>
    <col min="773" max="773" width="10.7109375" style="504" bestFit="1" customWidth="1"/>
    <col min="774" max="1024" width="9.28515625" style="504"/>
    <col min="1025" max="1025" width="51.42578125" style="504" bestFit="1" customWidth="1"/>
    <col min="1026" max="1026" width="6.28515625" style="504" bestFit="1" customWidth="1"/>
    <col min="1027" max="1028" width="10.5703125" style="504" bestFit="1" customWidth="1"/>
    <col min="1029" max="1029" width="10.7109375" style="504" bestFit="1" customWidth="1"/>
    <col min="1030" max="1280" width="9.28515625" style="504"/>
    <col min="1281" max="1281" width="51.42578125" style="504" bestFit="1" customWidth="1"/>
    <col min="1282" max="1282" width="6.28515625" style="504" bestFit="1" customWidth="1"/>
    <col min="1283" max="1284" width="10.5703125" style="504" bestFit="1" customWidth="1"/>
    <col min="1285" max="1285" width="10.7109375" style="504" bestFit="1" customWidth="1"/>
    <col min="1286" max="1536" width="9.28515625" style="504"/>
    <col min="1537" max="1537" width="51.42578125" style="504" bestFit="1" customWidth="1"/>
    <col min="1538" max="1538" width="6.28515625" style="504" bestFit="1" customWidth="1"/>
    <col min="1539" max="1540" width="10.5703125" style="504" bestFit="1" customWidth="1"/>
    <col min="1541" max="1541" width="10.7109375" style="504" bestFit="1" customWidth="1"/>
    <col min="1542" max="1792" width="9.28515625" style="504"/>
    <col min="1793" max="1793" width="51.42578125" style="504" bestFit="1" customWidth="1"/>
    <col min="1794" max="1794" width="6.28515625" style="504" bestFit="1" customWidth="1"/>
    <col min="1795" max="1796" width="10.5703125" style="504" bestFit="1" customWidth="1"/>
    <col min="1797" max="1797" width="10.7109375" style="504" bestFit="1" customWidth="1"/>
    <col min="1798" max="2048" width="9.28515625" style="504"/>
    <col min="2049" max="2049" width="51.42578125" style="504" bestFit="1" customWidth="1"/>
    <col min="2050" max="2050" width="6.28515625" style="504" bestFit="1" customWidth="1"/>
    <col min="2051" max="2052" width="10.5703125" style="504" bestFit="1" customWidth="1"/>
    <col min="2053" max="2053" width="10.7109375" style="504" bestFit="1" customWidth="1"/>
    <col min="2054" max="2304" width="9.28515625" style="504"/>
    <col min="2305" max="2305" width="51.42578125" style="504" bestFit="1" customWidth="1"/>
    <col min="2306" max="2306" width="6.28515625" style="504" bestFit="1" customWidth="1"/>
    <col min="2307" max="2308" width="10.5703125" style="504" bestFit="1" customWidth="1"/>
    <col min="2309" max="2309" width="10.7109375" style="504" bestFit="1" customWidth="1"/>
    <col min="2310" max="2560" width="9.28515625" style="504"/>
    <col min="2561" max="2561" width="51.42578125" style="504" bestFit="1" customWidth="1"/>
    <col min="2562" max="2562" width="6.28515625" style="504" bestFit="1" customWidth="1"/>
    <col min="2563" max="2564" width="10.5703125" style="504" bestFit="1" customWidth="1"/>
    <col min="2565" max="2565" width="10.7109375" style="504" bestFit="1" customWidth="1"/>
    <col min="2566" max="2816" width="9.28515625" style="504"/>
    <col min="2817" max="2817" width="51.42578125" style="504" bestFit="1" customWidth="1"/>
    <col min="2818" max="2818" width="6.28515625" style="504" bestFit="1" customWidth="1"/>
    <col min="2819" max="2820" width="10.5703125" style="504" bestFit="1" customWidth="1"/>
    <col min="2821" max="2821" width="10.7109375" style="504" bestFit="1" customWidth="1"/>
    <col min="2822" max="3072" width="9.28515625" style="504"/>
    <col min="3073" max="3073" width="51.42578125" style="504" bestFit="1" customWidth="1"/>
    <col min="3074" max="3074" width="6.28515625" style="504" bestFit="1" customWidth="1"/>
    <col min="3075" max="3076" width="10.5703125" style="504" bestFit="1" customWidth="1"/>
    <col min="3077" max="3077" width="10.7109375" style="504" bestFit="1" customWidth="1"/>
    <col min="3078" max="3328" width="9.28515625" style="504"/>
    <col min="3329" max="3329" width="51.42578125" style="504" bestFit="1" customWidth="1"/>
    <col min="3330" max="3330" width="6.28515625" style="504" bestFit="1" customWidth="1"/>
    <col min="3331" max="3332" width="10.5703125" style="504" bestFit="1" customWidth="1"/>
    <col min="3333" max="3333" width="10.7109375" style="504" bestFit="1" customWidth="1"/>
    <col min="3334" max="3584" width="9.28515625" style="504"/>
    <col min="3585" max="3585" width="51.42578125" style="504" bestFit="1" customWidth="1"/>
    <col min="3586" max="3586" width="6.28515625" style="504" bestFit="1" customWidth="1"/>
    <col min="3587" max="3588" width="10.5703125" style="504" bestFit="1" customWidth="1"/>
    <col min="3589" max="3589" width="10.7109375" style="504" bestFit="1" customWidth="1"/>
    <col min="3590" max="3840" width="9.28515625" style="504"/>
    <col min="3841" max="3841" width="51.42578125" style="504" bestFit="1" customWidth="1"/>
    <col min="3842" max="3842" width="6.28515625" style="504" bestFit="1" customWidth="1"/>
    <col min="3843" max="3844" width="10.5703125" style="504" bestFit="1" customWidth="1"/>
    <col min="3845" max="3845" width="10.7109375" style="504" bestFit="1" customWidth="1"/>
    <col min="3846" max="4096" width="9.28515625" style="504"/>
    <col min="4097" max="4097" width="51.42578125" style="504" bestFit="1" customWidth="1"/>
    <col min="4098" max="4098" width="6.28515625" style="504" bestFit="1" customWidth="1"/>
    <col min="4099" max="4100" width="10.5703125" style="504" bestFit="1" customWidth="1"/>
    <col min="4101" max="4101" width="10.7109375" style="504" bestFit="1" customWidth="1"/>
    <col min="4102" max="4352" width="9.28515625" style="504"/>
    <col min="4353" max="4353" width="51.42578125" style="504" bestFit="1" customWidth="1"/>
    <col min="4354" max="4354" width="6.28515625" style="504" bestFit="1" customWidth="1"/>
    <col min="4355" max="4356" width="10.5703125" style="504" bestFit="1" customWidth="1"/>
    <col min="4357" max="4357" width="10.7109375" style="504" bestFit="1" customWidth="1"/>
    <col min="4358" max="4608" width="9.28515625" style="504"/>
    <col min="4609" max="4609" width="51.42578125" style="504" bestFit="1" customWidth="1"/>
    <col min="4610" max="4610" width="6.28515625" style="504" bestFit="1" customWidth="1"/>
    <col min="4611" max="4612" width="10.5703125" style="504" bestFit="1" customWidth="1"/>
    <col min="4613" max="4613" width="10.7109375" style="504" bestFit="1" customWidth="1"/>
    <col min="4614" max="4864" width="9.28515625" style="504"/>
    <col min="4865" max="4865" width="51.42578125" style="504" bestFit="1" customWidth="1"/>
    <col min="4866" max="4866" width="6.28515625" style="504" bestFit="1" customWidth="1"/>
    <col min="4867" max="4868" width="10.5703125" style="504" bestFit="1" customWidth="1"/>
    <col min="4869" max="4869" width="10.7109375" style="504" bestFit="1" customWidth="1"/>
    <col min="4870" max="5120" width="9.28515625" style="504"/>
    <col min="5121" max="5121" width="51.42578125" style="504" bestFit="1" customWidth="1"/>
    <col min="5122" max="5122" width="6.28515625" style="504" bestFit="1" customWidth="1"/>
    <col min="5123" max="5124" width="10.5703125" style="504" bestFit="1" customWidth="1"/>
    <col min="5125" max="5125" width="10.7109375" style="504" bestFit="1" customWidth="1"/>
    <col min="5126" max="5376" width="9.28515625" style="504"/>
    <col min="5377" max="5377" width="51.42578125" style="504" bestFit="1" customWidth="1"/>
    <col min="5378" max="5378" width="6.28515625" style="504" bestFit="1" customWidth="1"/>
    <col min="5379" max="5380" width="10.5703125" style="504" bestFit="1" customWidth="1"/>
    <col min="5381" max="5381" width="10.7109375" style="504" bestFit="1" customWidth="1"/>
    <col min="5382" max="5632" width="9.28515625" style="504"/>
    <col min="5633" max="5633" width="51.42578125" style="504" bestFit="1" customWidth="1"/>
    <col min="5634" max="5634" width="6.28515625" style="504" bestFit="1" customWidth="1"/>
    <col min="5635" max="5636" width="10.5703125" style="504" bestFit="1" customWidth="1"/>
    <col min="5637" max="5637" width="10.7109375" style="504" bestFit="1" customWidth="1"/>
    <col min="5638" max="5888" width="9.28515625" style="504"/>
    <col min="5889" max="5889" width="51.42578125" style="504" bestFit="1" customWidth="1"/>
    <col min="5890" max="5890" width="6.28515625" style="504" bestFit="1" customWidth="1"/>
    <col min="5891" max="5892" width="10.5703125" style="504" bestFit="1" customWidth="1"/>
    <col min="5893" max="5893" width="10.7109375" style="504" bestFit="1" customWidth="1"/>
    <col min="5894" max="6144" width="9.28515625" style="504"/>
    <col min="6145" max="6145" width="51.42578125" style="504" bestFit="1" customWidth="1"/>
    <col min="6146" max="6146" width="6.28515625" style="504" bestFit="1" customWidth="1"/>
    <col min="6147" max="6148" width="10.5703125" style="504" bestFit="1" customWidth="1"/>
    <col min="6149" max="6149" width="10.7109375" style="504" bestFit="1" customWidth="1"/>
    <col min="6150" max="6400" width="9.28515625" style="504"/>
    <col min="6401" max="6401" width="51.42578125" style="504" bestFit="1" customWidth="1"/>
    <col min="6402" max="6402" width="6.28515625" style="504" bestFit="1" customWidth="1"/>
    <col min="6403" max="6404" width="10.5703125" style="504" bestFit="1" customWidth="1"/>
    <col min="6405" max="6405" width="10.7109375" style="504" bestFit="1" customWidth="1"/>
    <col min="6406" max="6656" width="9.28515625" style="504"/>
    <col min="6657" max="6657" width="51.42578125" style="504" bestFit="1" customWidth="1"/>
    <col min="6658" max="6658" width="6.28515625" style="504" bestFit="1" customWidth="1"/>
    <col min="6659" max="6660" width="10.5703125" style="504" bestFit="1" customWidth="1"/>
    <col min="6661" max="6661" width="10.7109375" style="504" bestFit="1" customWidth="1"/>
    <col min="6662" max="6912" width="9.28515625" style="504"/>
    <col min="6913" max="6913" width="51.42578125" style="504" bestFit="1" customWidth="1"/>
    <col min="6914" max="6914" width="6.28515625" style="504" bestFit="1" customWidth="1"/>
    <col min="6915" max="6916" width="10.5703125" style="504" bestFit="1" customWidth="1"/>
    <col min="6917" max="6917" width="10.7109375" style="504" bestFit="1" customWidth="1"/>
    <col min="6918" max="7168" width="9.28515625" style="504"/>
    <col min="7169" max="7169" width="51.42578125" style="504" bestFit="1" customWidth="1"/>
    <col min="7170" max="7170" width="6.28515625" style="504" bestFit="1" customWidth="1"/>
    <col min="7171" max="7172" width="10.5703125" style="504" bestFit="1" customWidth="1"/>
    <col min="7173" max="7173" width="10.7109375" style="504" bestFit="1" customWidth="1"/>
    <col min="7174" max="7424" width="9.28515625" style="504"/>
    <col min="7425" max="7425" width="51.42578125" style="504" bestFit="1" customWidth="1"/>
    <col min="7426" max="7426" width="6.28515625" style="504" bestFit="1" customWidth="1"/>
    <col min="7427" max="7428" width="10.5703125" style="504" bestFit="1" customWidth="1"/>
    <col min="7429" max="7429" width="10.7109375" style="504" bestFit="1" customWidth="1"/>
    <col min="7430" max="7680" width="9.28515625" style="504"/>
    <col min="7681" max="7681" width="51.42578125" style="504" bestFit="1" customWidth="1"/>
    <col min="7682" max="7682" width="6.28515625" style="504" bestFit="1" customWidth="1"/>
    <col min="7683" max="7684" width="10.5703125" style="504" bestFit="1" customWidth="1"/>
    <col min="7685" max="7685" width="10.7109375" style="504" bestFit="1" customWidth="1"/>
    <col min="7686" max="7936" width="9.28515625" style="504"/>
    <col min="7937" max="7937" width="51.42578125" style="504" bestFit="1" customWidth="1"/>
    <col min="7938" max="7938" width="6.28515625" style="504" bestFit="1" customWidth="1"/>
    <col min="7939" max="7940" width="10.5703125" style="504" bestFit="1" customWidth="1"/>
    <col min="7941" max="7941" width="10.7109375" style="504" bestFit="1" customWidth="1"/>
    <col min="7942" max="8192" width="9.28515625" style="504"/>
    <col min="8193" max="8193" width="51.42578125" style="504" bestFit="1" customWidth="1"/>
    <col min="8194" max="8194" width="6.28515625" style="504" bestFit="1" customWidth="1"/>
    <col min="8195" max="8196" width="10.5703125" style="504" bestFit="1" customWidth="1"/>
    <col min="8197" max="8197" width="10.7109375" style="504" bestFit="1" customWidth="1"/>
    <col min="8198" max="8448" width="9.28515625" style="504"/>
    <col min="8449" max="8449" width="51.42578125" style="504" bestFit="1" customWidth="1"/>
    <col min="8450" max="8450" width="6.28515625" style="504" bestFit="1" customWidth="1"/>
    <col min="8451" max="8452" width="10.5703125" style="504" bestFit="1" customWidth="1"/>
    <col min="8453" max="8453" width="10.7109375" style="504" bestFit="1" customWidth="1"/>
    <col min="8454" max="8704" width="9.28515625" style="504"/>
    <col min="8705" max="8705" width="51.42578125" style="504" bestFit="1" customWidth="1"/>
    <col min="8706" max="8706" width="6.28515625" style="504" bestFit="1" customWidth="1"/>
    <col min="8707" max="8708" width="10.5703125" style="504" bestFit="1" customWidth="1"/>
    <col min="8709" max="8709" width="10.7109375" style="504" bestFit="1" customWidth="1"/>
    <col min="8710" max="8960" width="9.28515625" style="504"/>
    <col min="8961" max="8961" width="51.42578125" style="504" bestFit="1" customWidth="1"/>
    <col min="8962" max="8962" width="6.28515625" style="504" bestFit="1" customWidth="1"/>
    <col min="8963" max="8964" width="10.5703125" style="504" bestFit="1" customWidth="1"/>
    <col min="8965" max="8965" width="10.7109375" style="504" bestFit="1" customWidth="1"/>
    <col min="8966" max="9216" width="9.28515625" style="504"/>
    <col min="9217" max="9217" width="51.42578125" style="504" bestFit="1" customWidth="1"/>
    <col min="9218" max="9218" width="6.28515625" style="504" bestFit="1" customWidth="1"/>
    <col min="9219" max="9220" width="10.5703125" style="504" bestFit="1" customWidth="1"/>
    <col min="9221" max="9221" width="10.7109375" style="504" bestFit="1" customWidth="1"/>
    <col min="9222" max="9472" width="9.28515625" style="504"/>
    <col min="9473" max="9473" width="51.42578125" style="504" bestFit="1" customWidth="1"/>
    <col min="9474" max="9474" width="6.28515625" style="504" bestFit="1" customWidth="1"/>
    <col min="9475" max="9476" width="10.5703125" style="504" bestFit="1" customWidth="1"/>
    <col min="9477" max="9477" width="10.7109375" style="504" bestFit="1" customWidth="1"/>
    <col min="9478" max="9728" width="9.28515625" style="504"/>
    <col min="9729" max="9729" width="51.42578125" style="504" bestFit="1" customWidth="1"/>
    <col min="9730" max="9730" width="6.28515625" style="504" bestFit="1" customWidth="1"/>
    <col min="9731" max="9732" width="10.5703125" style="504" bestFit="1" customWidth="1"/>
    <col min="9733" max="9733" width="10.7109375" style="504" bestFit="1" customWidth="1"/>
    <col min="9734" max="9984" width="9.28515625" style="504"/>
    <col min="9985" max="9985" width="51.42578125" style="504" bestFit="1" customWidth="1"/>
    <col min="9986" max="9986" width="6.28515625" style="504" bestFit="1" customWidth="1"/>
    <col min="9987" max="9988" width="10.5703125" style="504" bestFit="1" customWidth="1"/>
    <col min="9989" max="9989" width="10.7109375" style="504" bestFit="1" customWidth="1"/>
    <col min="9990" max="10240" width="9.28515625" style="504"/>
    <col min="10241" max="10241" width="51.42578125" style="504" bestFit="1" customWidth="1"/>
    <col min="10242" max="10242" width="6.28515625" style="504" bestFit="1" customWidth="1"/>
    <col min="10243" max="10244" width="10.5703125" style="504" bestFit="1" customWidth="1"/>
    <col min="10245" max="10245" width="10.7109375" style="504" bestFit="1" customWidth="1"/>
    <col min="10246" max="10496" width="9.28515625" style="504"/>
    <col min="10497" max="10497" width="51.42578125" style="504" bestFit="1" customWidth="1"/>
    <col min="10498" max="10498" width="6.28515625" style="504" bestFit="1" customWidth="1"/>
    <col min="10499" max="10500" width="10.5703125" style="504" bestFit="1" customWidth="1"/>
    <col min="10501" max="10501" width="10.7109375" style="504" bestFit="1" customWidth="1"/>
    <col min="10502" max="10752" width="9.28515625" style="504"/>
    <col min="10753" max="10753" width="51.42578125" style="504" bestFit="1" customWidth="1"/>
    <col min="10754" max="10754" width="6.28515625" style="504" bestFit="1" customWidth="1"/>
    <col min="10755" max="10756" width="10.5703125" style="504" bestFit="1" customWidth="1"/>
    <col min="10757" max="10757" width="10.7109375" style="504" bestFit="1" customWidth="1"/>
    <col min="10758" max="11008" width="9.28515625" style="504"/>
    <col min="11009" max="11009" width="51.42578125" style="504" bestFit="1" customWidth="1"/>
    <col min="11010" max="11010" width="6.28515625" style="504" bestFit="1" customWidth="1"/>
    <col min="11011" max="11012" width="10.5703125" style="504" bestFit="1" customWidth="1"/>
    <col min="11013" max="11013" width="10.7109375" style="504" bestFit="1" customWidth="1"/>
    <col min="11014" max="11264" width="9.28515625" style="504"/>
    <col min="11265" max="11265" width="51.42578125" style="504" bestFit="1" customWidth="1"/>
    <col min="11266" max="11266" width="6.28515625" style="504" bestFit="1" customWidth="1"/>
    <col min="11267" max="11268" width="10.5703125" style="504" bestFit="1" customWidth="1"/>
    <col min="11269" max="11269" width="10.7109375" style="504" bestFit="1" customWidth="1"/>
    <col min="11270" max="11520" width="9.28515625" style="504"/>
    <col min="11521" max="11521" width="51.42578125" style="504" bestFit="1" customWidth="1"/>
    <col min="11522" max="11522" width="6.28515625" style="504" bestFit="1" customWidth="1"/>
    <col min="11523" max="11524" width="10.5703125" style="504" bestFit="1" customWidth="1"/>
    <col min="11525" max="11525" width="10.7109375" style="504" bestFit="1" customWidth="1"/>
    <col min="11526" max="11776" width="9.28515625" style="504"/>
    <col min="11777" max="11777" width="51.42578125" style="504" bestFit="1" customWidth="1"/>
    <col min="11778" max="11778" width="6.28515625" style="504" bestFit="1" customWidth="1"/>
    <col min="11779" max="11780" width="10.5703125" style="504" bestFit="1" customWidth="1"/>
    <col min="11781" max="11781" width="10.7109375" style="504" bestFit="1" customWidth="1"/>
    <col min="11782" max="12032" width="9.28515625" style="504"/>
    <col min="12033" max="12033" width="51.42578125" style="504" bestFit="1" customWidth="1"/>
    <col min="12034" max="12034" width="6.28515625" style="504" bestFit="1" customWidth="1"/>
    <col min="12035" max="12036" width="10.5703125" style="504" bestFit="1" customWidth="1"/>
    <col min="12037" max="12037" width="10.7109375" style="504" bestFit="1" customWidth="1"/>
    <col min="12038" max="12288" width="9.28515625" style="504"/>
    <col min="12289" max="12289" width="51.42578125" style="504" bestFit="1" customWidth="1"/>
    <col min="12290" max="12290" width="6.28515625" style="504" bestFit="1" customWidth="1"/>
    <col min="12291" max="12292" width="10.5703125" style="504" bestFit="1" customWidth="1"/>
    <col min="12293" max="12293" width="10.7109375" style="504" bestFit="1" customWidth="1"/>
    <col min="12294" max="12544" width="9.28515625" style="504"/>
    <col min="12545" max="12545" width="51.42578125" style="504" bestFit="1" customWidth="1"/>
    <col min="12546" max="12546" width="6.28515625" style="504" bestFit="1" customWidth="1"/>
    <col min="12547" max="12548" width="10.5703125" style="504" bestFit="1" customWidth="1"/>
    <col min="12549" max="12549" width="10.7109375" style="504" bestFit="1" customWidth="1"/>
    <col min="12550" max="12800" width="9.28515625" style="504"/>
    <col min="12801" max="12801" width="51.42578125" style="504" bestFit="1" customWidth="1"/>
    <col min="12802" max="12802" width="6.28515625" style="504" bestFit="1" customWidth="1"/>
    <col min="12803" max="12804" width="10.5703125" style="504" bestFit="1" customWidth="1"/>
    <col min="12805" max="12805" width="10.7109375" style="504" bestFit="1" customWidth="1"/>
    <col min="12806" max="13056" width="9.28515625" style="504"/>
    <col min="13057" max="13057" width="51.42578125" style="504" bestFit="1" customWidth="1"/>
    <col min="13058" max="13058" width="6.28515625" style="504" bestFit="1" customWidth="1"/>
    <col min="13059" max="13060" width="10.5703125" style="504" bestFit="1" customWidth="1"/>
    <col min="13061" max="13061" width="10.7109375" style="504" bestFit="1" customWidth="1"/>
    <col min="13062" max="13312" width="9.28515625" style="504"/>
    <col min="13313" max="13313" width="51.42578125" style="504" bestFit="1" customWidth="1"/>
    <col min="13314" max="13314" width="6.28515625" style="504" bestFit="1" customWidth="1"/>
    <col min="13315" max="13316" width="10.5703125" style="504" bestFit="1" customWidth="1"/>
    <col min="13317" max="13317" width="10.7109375" style="504" bestFit="1" customWidth="1"/>
    <col min="13318" max="13568" width="9.28515625" style="504"/>
    <col min="13569" max="13569" width="51.42578125" style="504" bestFit="1" customWidth="1"/>
    <col min="13570" max="13570" width="6.28515625" style="504" bestFit="1" customWidth="1"/>
    <col min="13571" max="13572" width="10.5703125" style="504" bestFit="1" customWidth="1"/>
    <col min="13573" max="13573" width="10.7109375" style="504" bestFit="1" customWidth="1"/>
    <col min="13574" max="13824" width="9.28515625" style="504"/>
    <col min="13825" max="13825" width="51.42578125" style="504" bestFit="1" customWidth="1"/>
    <col min="13826" max="13826" width="6.28515625" style="504" bestFit="1" customWidth="1"/>
    <col min="13827" max="13828" width="10.5703125" style="504" bestFit="1" customWidth="1"/>
    <col min="13829" max="13829" width="10.7109375" style="504" bestFit="1" customWidth="1"/>
    <col min="13830" max="14080" width="9.28515625" style="504"/>
    <col min="14081" max="14081" width="51.42578125" style="504" bestFit="1" customWidth="1"/>
    <col min="14082" max="14082" width="6.28515625" style="504" bestFit="1" customWidth="1"/>
    <col min="14083" max="14084" width="10.5703125" style="504" bestFit="1" customWidth="1"/>
    <col min="14085" max="14085" width="10.7109375" style="504" bestFit="1" customWidth="1"/>
    <col min="14086" max="14336" width="9.28515625" style="504"/>
    <col min="14337" max="14337" width="51.42578125" style="504" bestFit="1" customWidth="1"/>
    <col min="14338" max="14338" width="6.28515625" style="504" bestFit="1" customWidth="1"/>
    <col min="14339" max="14340" width="10.5703125" style="504" bestFit="1" customWidth="1"/>
    <col min="14341" max="14341" width="10.7109375" style="504" bestFit="1" customWidth="1"/>
    <col min="14342" max="14592" width="9.28515625" style="504"/>
    <col min="14593" max="14593" width="51.42578125" style="504" bestFit="1" customWidth="1"/>
    <col min="14594" max="14594" width="6.28515625" style="504" bestFit="1" customWidth="1"/>
    <col min="14595" max="14596" width="10.5703125" style="504" bestFit="1" customWidth="1"/>
    <col min="14597" max="14597" width="10.7109375" style="504" bestFit="1" customWidth="1"/>
    <col min="14598" max="14848" width="9.28515625" style="504"/>
    <col min="14849" max="14849" width="51.42578125" style="504" bestFit="1" customWidth="1"/>
    <col min="14850" max="14850" width="6.28515625" style="504" bestFit="1" customWidth="1"/>
    <col min="14851" max="14852" width="10.5703125" style="504" bestFit="1" customWidth="1"/>
    <col min="14853" max="14853" width="10.7109375" style="504" bestFit="1" customWidth="1"/>
    <col min="14854" max="15104" width="9.28515625" style="504"/>
    <col min="15105" max="15105" width="51.42578125" style="504" bestFit="1" customWidth="1"/>
    <col min="15106" max="15106" width="6.28515625" style="504" bestFit="1" customWidth="1"/>
    <col min="15107" max="15108" width="10.5703125" style="504" bestFit="1" customWidth="1"/>
    <col min="15109" max="15109" width="10.7109375" style="504" bestFit="1" customWidth="1"/>
    <col min="15110" max="15360" width="9.28515625" style="504"/>
    <col min="15361" max="15361" width="51.42578125" style="504" bestFit="1" customWidth="1"/>
    <col min="15362" max="15362" width="6.28515625" style="504" bestFit="1" customWidth="1"/>
    <col min="15363" max="15364" width="10.5703125" style="504" bestFit="1" customWidth="1"/>
    <col min="15365" max="15365" width="10.7109375" style="504" bestFit="1" customWidth="1"/>
    <col min="15366" max="15616" width="9.28515625" style="504"/>
    <col min="15617" max="15617" width="51.42578125" style="504" bestFit="1" customWidth="1"/>
    <col min="15618" max="15618" width="6.28515625" style="504" bestFit="1" customWidth="1"/>
    <col min="15619" max="15620" width="10.5703125" style="504" bestFit="1" customWidth="1"/>
    <col min="15621" max="15621" width="10.7109375" style="504" bestFit="1" customWidth="1"/>
    <col min="15622" max="15872" width="9.28515625" style="504"/>
    <col min="15873" max="15873" width="51.42578125" style="504" bestFit="1" customWidth="1"/>
    <col min="15874" max="15874" width="6.28515625" style="504" bestFit="1" customWidth="1"/>
    <col min="15875" max="15876" width="10.5703125" style="504" bestFit="1" customWidth="1"/>
    <col min="15877" max="15877" width="10.7109375" style="504" bestFit="1" customWidth="1"/>
    <col min="15878" max="16128" width="9.28515625" style="504"/>
    <col min="16129" max="16129" width="51.42578125" style="504" bestFit="1" customWidth="1"/>
    <col min="16130" max="16130" width="6.28515625" style="504" bestFit="1" customWidth="1"/>
    <col min="16131" max="16132" width="10.5703125" style="504" bestFit="1" customWidth="1"/>
    <col min="16133" max="16133" width="10.7109375" style="504" bestFit="1" customWidth="1"/>
    <col min="16134" max="16384" width="9.28515625" style="504"/>
  </cols>
  <sheetData>
    <row r="1" spans="1:8" x14ac:dyDescent="0.2">
      <c r="A1" s="504" t="s">
        <v>423</v>
      </c>
      <c r="B1" s="504" t="s">
        <v>171</v>
      </c>
      <c r="C1" s="503">
        <v>39721</v>
      </c>
      <c r="D1" s="503">
        <v>39903</v>
      </c>
      <c r="E1" s="502" t="s">
        <v>424</v>
      </c>
    </row>
    <row r="2" spans="1:8" x14ac:dyDescent="0.2">
      <c r="A2" s="501" t="s">
        <v>425</v>
      </c>
      <c r="B2" s="501" t="s">
        <v>426</v>
      </c>
      <c r="C2" s="500">
        <v>-3725534.34</v>
      </c>
      <c r="D2" s="500">
        <v>-2641797.17</v>
      </c>
      <c r="E2" s="500">
        <v>-1083737.17</v>
      </c>
      <c r="G2" s="184" t="s">
        <v>414</v>
      </c>
      <c r="H2">
        <v>0.68715000000000004</v>
      </c>
    </row>
    <row r="3" spans="1:8" x14ac:dyDescent="0.2">
      <c r="A3" s="501" t="s">
        <v>427</v>
      </c>
      <c r="B3" s="501" t="s">
        <v>428</v>
      </c>
      <c r="C3" s="500">
        <v>668699.53</v>
      </c>
      <c r="D3" s="500">
        <v>-424557.32</v>
      </c>
      <c r="E3" s="500">
        <v>1093256.8500000001</v>
      </c>
      <c r="G3" s="184" t="s">
        <v>415</v>
      </c>
      <c r="H3">
        <v>0.80147000000000002</v>
      </c>
    </row>
    <row r="4" spans="1:8" x14ac:dyDescent="0.2">
      <c r="A4" s="501" t="s">
        <v>429</v>
      </c>
      <c r="B4" s="501" t="s">
        <v>299</v>
      </c>
      <c r="C4" s="500">
        <v>-3056834.81</v>
      </c>
      <c r="D4" s="500">
        <v>-3066354.49</v>
      </c>
      <c r="E4" s="500">
        <v>9519.68</v>
      </c>
      <c r="G4"/>
      <c r="H4"/>
    </row>
    <row r="5" spans="1:8" x14ac:dyDescent="0.2">
      <c r="A5" s="501" t="s">
        <v>430</v>
      </c>
      <c r="B5" s="501" t="s">
        <v>299</v>
      </c>
      <c r="C5" s="500">
        <v>-3056834.81</v>
      </c>
      <c r="D5" s="500">
        <v>-3066354.49</v>
      </c>
      <c r="E5" s="500">
        <v>9519.68</v>
      </c>
      <c r="G5" s="184" t="s">
        <v>755</v>
      </c>
      <c r="H5" s="505">
        <f>SUM(D137:D144)</f>
        <v>8664536.7999999989</v>
      </c>
    </row>
    <row r="6" spans="1:8" x14ac:dyDescent="0.2">
      <c r="A6" s="501" t="s">
        <v>431</v>
      </c>
      <c r="B6" s="501" t="s">
        <v>432</v>
      </c>
      <c r="C6" s="500">
        <v>32809.199999999997</v>
      </c>
      <c r="D6" s="500">
        <v>11806.21</v>
      </c>
      <c r="E6" s="500">
        <v>21002.99</v>
      </c>
      <c r="G6" s="184" t="s">
        <v>756</v>
      </c>
      <c r="H6" s="505">
        <f>SUM(C137:C144)</f>
        <v>8279616.54</v>
      </c>
    </row>
    <row r="7" spans="1:8" x14ac:dyDescent="0.2">
      <c r="A7" s="501" t="s">
        <v>433</v>
      </c>
      <c r="B7" s="501" t="s">
        <v>299</v>
      </c>
      <c r="C7" s="500">
        <v>32809.199999999997</v>
      </c>
      <c r="D7" s="500">
        <v>11806.21</v>
      </c>
      <c r="E7" s="500">
        <v>21002.99</v>
      </c>
      <c r="G7"/>
      <c r="H7"/>
    </row>
    <row r="8" spans="1:8" x14ac:dyDescent="0.2">
      <c r="A8" s="499" t="s">
        <v>434</v>
      </c>
      <c r="B8" s="499" t="s">
        <v>299</v>
      </c>
      <c r="C8" s="498">
        <v>-3024025.61</v>
      </c>
      <c r="D8" s="500">
        <v>-3054548.28</v>
      </c>
      <c r="E8" s="500">
        <v>30522.67</v>
      </c>
      <c r="G8" s="184" t="s">
        <v>757</v>
      </c>
      <c r="H8" s="207">
        <f>H5/H2</f>
        <v>12609381.939896673</v>
      </c>
    </row>
    <row r="9" spans="1:8" x14ac:dyDescent="0.2">
      <c r="A9" s="501" t="s">
        <v>435</v>
      </c>
      <c r="B9" s="501" t="s">
        <v>299</v>
      </c>
      <c r="C9" s="500">
        <v>0</v>
      </c>
      <c r="D9" s="500">
        <v>0</v>
      </c>
      <c r="E9" s="500">
        <v>0</v>
      </c>
      <c r="G9" s="184" t="s">
        <v>758</v>
      </c>
      <c r="H9" s="207">
        <f>H6/H3</f>
        <v>10330538.310853805</v>
      </c>
    </row>
    <row r="10" spans="1:8" x14ac:dyDescent="0.2">
      <c r="A10" s="501" t="s">
        <v>436</v>
      </c>
      <c r="B10" s="501" t="s">
        <v>437</v>
      </c>
      <c r="C10" s="500">
        <v>655701.57999999996</v>
      </c>
      <c r="D10" s="500">
        <v>369107.36</v>
      </c>
      <c r="E10" s="500">
        <v>286594.21999999997</v>
      </c>
    </row>
    <row r="11" spans="1:8" x14ac:dyDescent="0.2">
      <c r="A11" s="501" t="s">
        <v>438</v>
      </c>
      <c r="B11" s="501" t="s">
        <v>439</v>
      </c>
      <c r="C11" s="500">
        <v>-72719.320000000007</v>
      </c>
      <c r="D11" s="500">
        <v>-42735.48</v>
      </c>
      <c r="E11" s="500">
        <v>-29983.84</v>
      </c>
    </row>
    <row r="12" spans="1:8" x14ac:dyDescent="0.2">
      <c r="A12" s="501" t="s">
        <v>440</v>
      </c>
      <c r="B12" s="501" t="s">
        <v>441</v>
      </c>
      <c r="C12" s="500">
        <v>159899.42000000001</v>
      </c>
      <c r="D12" s="500">
        <v>135171.46</v>
      </c>
      <c r="E12" s="500">
        <v>24727.96</v>
      </c>
    </row>
    <row r="13" spans="1:8" x14ac:dyDescent="0.2">
      <c r="A13" s="501" t="s">
        <v>442</v>
      </c>
      <c r="B13" s="501" t="s">
        <v>443</v>
      </c>
      <c r="C13" s="500">
        <v>2167.66</v>
      </c>
      <c r="D13" s="500">
        <v>0</v>
      </c>
      <c r="E13" s="500">
        <v>2167.66</v>
      </c>
    </row>
    <row r="14" spans="1:8" x14ac:dyDescent="0.2">
      <c r="A14" s="501" t="s">
        <v>444</v>
      </c>
      <c r="B14" s="501" t="s">
        <v>299</v>
      </c>
      <c r="C14" s="500">
        <v>745049.34</v>
      </c>
      <c r="D14" s="500">
        <v>461543.34</v>
      </c>
      <c r="E14" s="500">
        <v>283506</v>
      </c>
      <c r="G14" s="184" t="s">
        <v>422</v>
      </c>
      <c r="H14">
        <v>0.83281000000000005</v>
      </c>
    </row>
    <row r="15" spans="1:8" x14ac:dyDescent="0.2">
      <c r="A15" s="501" t="s">
        <v>445</v>
      </c>
      <c r="B15" s="501" t="s">
        <v>299</v>
      </c>
      <c r="C15" s="500">
        <v>745049.34</v>
      </c>
      <c r="D15" s="500">
        <v>461543.34</v>
      </c>
      <c r="E15" s="500">
        <v>283506</v>
      </c>
      <c r="G15"/>
      <c r="H15"/>
    </row>
    <row r="16" spans="1:8" x14ac:dyDescent="0.2">
      <c r="A16" s="501" t="s">
        <v>446</v>
      </c>
      <c r="B16" s="501" t="s">
        <v>447</v>
      </c>
      <c r="C16" s="500">
        <v>1654625.71</v>
      </c>
      <c r="D16" s="500">
        <v>1120894.98</v>
      </c>
      <c r="E16" s="500">
        <v>533730.73</v>
      </c>
      <c r="G16" s="184" t="s">
        <v>763</v>
      </c>
      <c r="H16" s="505">
        <f>C5</f>
        <v>-3056834.81</v>
      </c>
    </row>
    <row r="17" spans="1:8" x14ac:dyDescent="0.2">
      <c r="A17" s="501" t="s">
        <v>448</v>
      </c>
      <c r="B17" s="501" t="s">
        <v>449</v>
      </c>
      <c r="C17" s="500">
        <v>-2354921.5499999998</v>
      </c>
      <c r="D17" s="500">
        <v>-1520602.24</v>
      </c>
      <c r="E17" s="500">
        <v>-834319.31</v>
      </c>
      <c r="G17"/>
      <c r="H17"/>
    </row>
    <row r="18" spans="1:8" x14ac:dyDescent="0.2">
      <c r="A18" s="501" t="s">
        <v>450</v>
      </c>
      <c r="B18" s="501" t="s">
        <v>299</v>
      </c>
      <c r="C18" s="500">
        <v>-700295.84</v>
      </c>
      <c r="D18" s="500">
        <v>-399707.26</v>
      </c>
      <c r="E18" s="500">
        <v>-300588.58</v>
      </c>
      <c r="G18" s="184" t="s">
        <v>764</v>
      </c>
      <c r="H18" s="207">
        <f>H16/H14</f>
        <v>-3670506.8503019894</v>
      </c>
    </row>
    <row r="19" spans="1:8" x14ac:dyDescent="0.2">
      <c r="A19" s="501" t="s">
        <v>451</v>
      </c>
      <c r="B19" s="501" t="s">
        <v>452</v>
      </c>
      <c r="C19" s="500">
        <v>111168.08</v>
      </c>
      <c r="D19" s="500">
        <v>118157.88</v>
      </c>
      <c r="E19" s="500">
        <v>-6989.8</v>
      </c>
    </row>
    <row r="20" spans="1:8" x14ac:dyDescent="0.2">
      <c r="A20" s="501" t="s">
        <v>453</v>
      </c>
      <c r="B20" s="501" t="s">
        <v>454</v>
      </c>
      <c r="C20" s="500">
        <v>-24362.57</v>
      </c>
      <c r="D20" s="500">
        <v>-69360.36</v>
      </c>
      <c r="E20" s="500">
        <v>44997.79</v>
      </c>
    </row>
    <row r="21" spans="1:8" x14ac:dyDescent="0.2">
      <c r="A21" s="501" t="s">
        <v>455</v>
      </c>
      <c r="B21" s="501" t="s">
        <v>456</v>
      </c>
      <c r="C21" s="500">
        <v>757772.81</v>
      </c>
      <c r="D21" s="500">
        <v>498090.47</v>
      </c>
      <c r="E21" s="500">
        <v>259682.34</v>
      </c>
    </row>
    <row r="22" spans="1:8" x14ac:dyDescent="0.2">
      <c r="A22" s="501" t="s">
        <v>457</v>
      </c>
      <c r="B22" s="501" t="s">
        <v>458</v>
      </c>
      <c r="C22" s="500">
        <v>526.84</v>
      </c>
      <c r="D22" s="500">
        <v>1712.32</v>
      </c>
      <c r="E22" s="500">
        <v>-1185.48</v>
      </c>
    </row>
    <row r="23" spans="1:8" x14ac:dyDescent="0.2">
      <c r="A23" s="501" t="s">
        <v>459</v>
      </c>
      <c r="B23" s="501" t="s">
        <v>460</v>
      </c>
      <c r="C23" s="500">
        <v>10825.63</v>
      </c>
      <c r="D23" s="500">
        <v>-26354.720000000001</v>
      </c>
      <c r="E23" s="500">
        <v>37180.35</v>
      </c>
    </row>
    <row r="24" spans="1:8" x14ac:dyDescent="0.2">
      <c r="A24" s="501" t="s">
        <v>461</v>
      </c>
      <c r="B24" s="501" t="s">
        <v>299</v>
      </c>
      <c r="C24" s="500">
        <v>855930.79</v>
      </c>
      <c r="D24" s="500">
        <v>522245.59</v>
      </c>
      <c r="E24" s="500">
        <v>333685.2</v>
      </c>
    </row>
    <row r="25" spans="1:8" x14ac:dyDescent="0.2">
      <c r="A25" s="501" t="s">
        <v>462</v>
      </c>
      <c r="B25" s="501" t="s">
        <v>299</v>
      </c>
      <c r="C25" s="500">
        <v>900684.29</v>
      </c>
      <c r="D25" s="500">
        <v>584081.67000000004</v>
      </c>
      <c r="E25" s="500">
        <v>316602.62</v>
      </c>
    </row>
    <row r="26" spans="1:8" x14ac:dyDescent="0.2">
      <c r="A26" s="501" t="s">
        <v>463</v>
      </c>
      <c r="B26" s="501" t="s">
        <v>464</v>
      </c>
      <c r="C26" s="500">
        <v>271648.74</v>
      </c>
      <c r="D26" s="500">
        <v>135279.84</v>
      </c>
      <c r="E26" s="500">
        <v>136368.9</v>
      </c>
    </row>
    <row r="27" spans="1:8" x14ac:dyDescent="0.2">
      <c r="A27" s="501" t="s">
        <v>465</v>
      </c>
      <c r="B27" s="501" t="s">
        <v>466</v>
      </c>
      <c r="C27" s="500">
        <v>19259.61</v>
      </c>
      <c r="D27" s="500">
        <v>25517.55</v>
      </c>
      <c r="E27" s="500">
        <v>-6257.94</v>
      </c>
    </row>
    <row r="28" spans="1:8" x14ac:dyDescent="0.2">
      <c r="A28" s="501" t="s">
        <v>467</v>
      </c>
      <c r="B28" s="501" t="s">
        <v>468</v>
      </c>
      <c r="C28" s="500">
        <v>13922.93</v>
      </c>
      <c r="D28" s="500">
        <v>11252.14</v>
      </c>
      <c r="E28" s="500">
        <v>2670.79</v>
      </c>
    </row>
    <row r="29" spans="1:8" x14ac:dyDescent="0.2">
      <c r="A29" s="501" t="s">
        <v>469</v>
      </c>
      <c r="B29" s="501" t="s">
        <v>299</v>
      </c>
      <c r="C29" s="500">
        <v>304831.28000000003</v>
      </c>
      <c r="D29" s="500">
        <v>172049.53</v>
      </c>
      <c r="E29" s="500">
        <v>132781.75</v>
      </c>
    </row>
    <row r="30" spans="1:8" x14ac:dyDescent="0.2">
      <c r="A30" s="501" t="s">
        <v>470</v>
      </c>
      <c r="B30" s="501" t="s">
        <v>299</v>
      </c>
      <c r="C30" s="500">
        <v>1205515.57</v>
      </c>
      <c r="D30" s="500">
        <v>756131.2</v>
      </c>
      <c r="E30" s="500">
        <v>449384.37</v>
      </c>
    </row>
    <row r="31" spans="1:8" x14ac:dyDescent="0.2">
      <c r="A31" s="501" t="s">
        <v>471</v>
      </c>
      <c r="B31" s="501" t="s">
        <v>299</v>
      </c>
      <c r="C31" s="500">
        <v>-1818510.04</v>
      </c>
      <c r="D31" s="500">
        <v>-2298417.08</v>
      </c>
      <c r="E31" s="500">
        <v>479907.04</v>
      </c>
    </row>
    <row r="32" spans="1:8" x14ac:dyDescent="0.2">
      <c r="A32" s="501" t="s">
        <v>472</v>
      </c>
      <c r="B32" s="501" t="s">
        <v>299</v>
      </c>
      <c r="C32" s="500">
        <v>0</v>
      </c>
      <c r="D32" s="500">
        <v>0</v>
      </c>
      <c r="E32" s="500">
        <v>0</v>
      </c>
    </row>
    <row r="33" spans="1:5" x14ac:dyDescent="0.2">
      <c r="A33" s="501" t="s">
        <v>473</v>
      </c>
      <c r="B33" s="501" t="s">
        <v>474</v>
      </c>
      <c r="C33" s="500">
        <v>462875.02</v>
      </c>
      <c r="D33" s="500">
        <v>288227.3</v>
      </c>
      <c r="E33" s="500">
        <v>174647.72</v>
      </c>
    </row>
    <row r="34" spans="1:5" x14ac:dyDescent="0.2">
      <c r="A34" s="501" t="s">
        <v>475</v>
      </c>
      <c r="B34" s="501" t="s">
        <v>476</v>
      </c>
      <c r="C34" s="500">
        <v>10065.209999999999</v>
      </c>
      <c r="D34" s="500">
        <v>4296.5</v>
      </c>
      <c r="E34" s="500">
        <v>5768.71</v>
      </c>
    </row>
    <row r="35" spans="1:5" x14ac:dyDescent="0.2">
      <c r="A35" s="501" t="s">
        <v>477</v>
      </c>
      <c r="B35" s="501" t="s">
        <v>478</v>
      </c>
      <c r="C35" s="500">
        <v>1533.15</v>
      </c>
      <c r="D35" s="500">
        <v>26312.66</v>
      </c>
      <c r="E35" s="500">
        <v>-24779.51</v>
      </c>
    </row>
    <row r="36" spans="1:5" x14ac:dyDescent="0.2">
      <c r="A36" s="501" t="s">
        <v>479</v>
      </c>
      <c r="B36" s="501" t="s">
        <v>480</v>
      </c>
      <c r="C36" s="500">
        <v>1636.25</v>
      </c>
      <c r="D36" s="500">
        <v>0</v>
      </c>
      <c r="E36" s="500">
        <v>1636.25</v>
      </c>
    </row>
    <row r="37" spans="1:5" x14ac:dyDescent="0.2">
      <c r="A37" s="501" t="s">
        <v>481</v>
      </c>
      <c r="B37" s="501" t="s">
        <v>482</v>
      </c>
      <c r="C37" s="500">
        <v>13373.1</v>
      </c>
      <c r="D37" s="500">
        <v>9336.08</v>
      </c>
      <c r="E37" s="500">
        <v>4037.02</v>
      </c>
    </row>
    <row r="38" spans="1:5" x14ac:dyDescent="0.2">
      <c r="A38" s="501" t="s">
        <v>483</v>
      </c>
      <c r="B38" s="501" t="s">
        <v>484</v>
      </c>
      <c r="C38" s="500">
        <v>2185.81</v>
      </c>
      <c r="D38" s="500">
        <v>933.07</v>
      </c>
      <c r="E38" s="500">
        <v>1252.74</v>
      </c>
    </row>
    <row r="39" spans="1:5" x14ac:dyDescent="0.2">
      <c r="A39" s="501" t="s">
        <v>485</v>
      </c>
      <c r="B39" s="501" t="s">
        <v>299</v>
      </c>
      <c r="C39" s="500">
        <v>491668.54</v>
      </c>
      <c r="D39" s="500">
        <v>329105.61</v>
      </c>
      <c r="E39" s="500">
        <v>162562.93</v>
      </c>
    </row>
    <row r="40" spans="1:5" x14ac:dyDescent="0.2">
      <c r="A40" s="501" t="s">
        <v>486</v>
      </c>
      <c r="B40" s="501" t="s">
        <v>487</v>
      </c>
      <c r="C40" s="500">
        <v>34803.550000000003</v>
      </c>
      <c r="D40" s="500">
        <v>21495.24</v>
      </c>
      <c r="E40" s="500">
        <v>13308.31</v>
      </c>
    </row>
    <row r="41" spans="1:5" x14ac:dyDescent="0.2">
      <c r="A41" s="501" t="s">
        <v>488</v>
      </c>
      <c r="B41" s="501" t="s">
        <v>299</v>
      </c>
      <c r="C41" s="500">
        <v>34803.550000000003</v>
      </c>
      <c r="D41" s="500">
        <v>21495.24</v>
      </c>
      <c r="E41" s="500">
        <v>13308.31</v>
      </c>
    </row>
    <row r="42" spans="1:5" x14ac:dyDescent="0.2">
      <c r="A42" s="501" t="s">
        <v>489</v>
      </c>
      <c r="B42" s="501" t="s">
        <v>490</v>
      </c>
      <c r="C42" s="500">
        <v>19872.8</v>
      </c>
      <c r="D42" s="500">
        <v>7865.23</v>
      </c>
      <c r="E42" s="500">
        <v>12007.57</v>
      </c>
    </row>
    <row r="43" spans="1:5" x14ac:dyDescent="0.2">
      <c r="A43" s="501" t="s">
        <v>491</v>
      </c>
      <c r="B43" s="501" t="s">
        <v>492</v>
      </c>
      <c r="C43" s="500">
        <v>961.7</v>
      </c>
      <c r="D43" s="500">
        <v>471.71</v>
      </c>
      <c r="E43" s="500">
        <v>489.99</v>
      </c>
    </row>
    <row r="44" spans="1:5" x14ac:dyDescent="0.2">
      <c r="A44" s="501" t="s">
        <v>493</v>
      </c>
      <c r="B44" s="501" t="s">
        <v>494</v>
      </c>
      <c r="C44" s="500">
        <v>5041.66</v>
      </c>
      <c r="D44" s="500">
        <v>1996.34</v>
      </c>
      <c r="E44" s="500">
        <v>3045.32</v>
      </c>
    </row>
    <row r="45" spans="1:5" x14ac:dyDescent="0.2">
      <c r="A45" s="501" t="s">
        <v>495</v>
      </c>
      <c r="B45" s="501" t="s">
        <v>496</v>
      </c>
      <c r="C45" s="500">
        <v>57524.99</v>
      </c>
      <c r="D45" s="500">
        <v>9253.98</v>
      </c>
      <c r="E45" s="500">
        <v>48271.01</v>
      </c>
    </row>
    <row r="46" spans="1:5" x14ac:dyDescent="0.2">
      <c r="A46" s="501" t="s">
        <v>497</v>
      </c>
      <c r="B46" s="501" t="s">
        <v>498</v>
      </c>
      <c r="C46" s="500">
        <v>179659.84</v>
      </c>
      <c r="D46" s="500">
        <v>55408.91</v>
      </c>
      <c r="E46" s="500">
        <v>124250.93</v>
      </c>
    </row>
    <row r="47" spans="1:5" x14ac:dyDescent="0.2">
      <c r="A47" s="501" t="s">
        <v>499</v>
      </c>
      <c r="B47" s="501" t="s">
        <v>500</v>
      </c>
      <c r="C47" s="500">
        <v>123977.08</v>
      </c>
      <c r="D47" s="500">
        <v>77267.61</v>
      </c>
      <c r="E47" s="500">
        <v>46709.47</v>
      </c>
    </row>
    <row r="48" spans="1:5" x14ac:dyDescent="0.2">
      <c r="A48" s="501" t="s">
        <v>501</v>
      </c>
      <c r="B48" s="501" t="s">
        <v>502</v>
      </c>
      <c r="C48" s="500">
        <v>3395.14</v>
      </c>
      <c r="D48" s="500">
        <v>1017.17</v>
      </c>
      <c r="E48" s="500">
        <v>2377.9699999999998</v>
      </c>
    </row>
    <row r="49" spans="1:5" x14ac:dyDescent="0.2">
      <c r="A49" s="501" t="s">
        <v>503</v>
      </c>
      <c r="B49" s="501" t="s">
        <v>504</v>
      </c>
      <c r="C49" s="500">
        <v>12667.83</v>
      </c>
      <c r="D49" s="500">
        <v>2636.25</v>
      </c>
      <c r="E49" s="500">
        <v>10031.58</v>
      </c>
    </row>
    <row r="50" spans="1:5" x14ac:dyDescent="0.2">
      <c r="A50" s="501" t="s">
        <v>505</v>
      </c>
      <c r="B50" s="501" t="s">
        <v>506</v>
      </c>
      <c r="C50" s="500">
        <v>37439.53</v>
      </c>
      <c r="D50" s="500">
        <v>22957.88</v>
      </c>
      <c r="E50" s="500">
        <v>14481.65</v>
      </c>
    </row>
    <row r="51" spans="1:5" x14ac:dyDescent="0.2">
      <c r="A51" s="501" t="s">
        <v>507</v>
      </c>
      <c r="B51" s="501" t="s">
        <v>508</v>
      </c>
      <c r="C51" s="500">
        <v>743.37</v>
      </c>
      <c r="D51" s="500">
        <v>0</v>
      </c>
      <c r="E51" s="500">
        <v>743.37</v>
      </c>
    </row>
    <row r="52" spans="1:5" x14ac:dyDescent="0.2">
      <c r="A52" s="501" t="s">
        <v>509</v>
      </c>
      <c r="B52" s="501" t="s">
        <v>510</v>
      </c>
      <c r="C52" s="500">
        <v>36004.1</v>
      </c>
      <c r="D52" s="500">
        <v>10644.6</v>
      </c>
      <c r="E52" s="500">
        <v>25359.5</v>
      </c>
    </row>
    <row r="53" spans="1:5" x14ac:dyDescent="0.2">
      <c r="A53" s="501" t="s">
        <v>511</v>
      </c>
      <c r="B53" s="501" t="s">
        <v>512</v>
      </c>
      <c r="C53" s="500">
        <v>24968.9</v>
      </c>
      <c r="D53" s="500">
        <v>10519.52</v>
      </c>
      <c r="E53" s="500">
        <v>14449.38</v>
      </c>
    </row>
    <row r="54" spans="1:5" x14ac:dyDescent="0.2">
      <c r="A54" s="501" t="s">
        <v>513</v>
      </c>
      <c r="B54" s="501" t="s">
        <v>514</v>
      </c>
      <c r="C54" s="500">
        <v>28522.39</v>
      </c>
      <c r="D54" s="500">
        <v>10814.51</v>
      </c>
      <c r="E54" s="500">
        <v>17707.88</v>
      </c>
    </row>
    <row r="55" spans="1:5" x14ac:dyDescent="0.2">
      <c r="A55" s="501" t="s">
        <v>515</v>
      </c>
      <c r="B55" s="501" t="s">
        <v>516</v>
      </c>
      <c r="C55" s="500">
        <v>71.84</v>
      </c>
      <c r="D55" s="500">
        <v>0</v>
      </c>
      <c r="E55" s="500">
        <v>71.84</v>
      </c>
    </row>
    <row r="56" spans="1:5" x14ac:dyDescent="0.2">
      <c r="A56" s="501" t="s">
        <v>517</v>
      </c>
      <c r="B56" s="501" t="s">
        <v>518</v>
      </c>
      <c r="C56" s="500">
        <v>1285.99</v>
      </c>
      <c r="D56" s="500">
        <v>633.54999999999995</v>
      </c>
      <c r="E56" s="500">
        <v>652.44000000000005</v>
      </c>
    </row>
    <row r="57" spans="1:5" x14ac:dyDescent="0.2">
      <c r="A57" s="501" t="s">
        <v>519</v>
      </c>
      <c r="B57" s="501" t="s">
        <v>520</v>
      </c>
      <c r="C57" s="500">
        <v>5278.53</v>
      </c>
      <c r="D57" s="500">
        <v>4394.7700000000004</v>
      </c>
      <c r="E57" s="500">
        <v>883.76</v>
      </c>
    </row>
    <row r="58" spans="1:5" x14ac:dyDescent="0.2">
      <c r="A58" s="501" t="s">
        <v>521</v>
      </c>
      <c r="B58" s="501" t="s">
        <v>522</v>
      </c>
      <c r="C58" s="500">
        <v>99274.23</v>
      </c>
      <c r="D58" s="500">
        <v>54507.5</v>
      </c>
      <c r="E58" s="500">
        <v>44766.73</v>
      </c>
    </row>
    <row r="59" spans="1:5" x14ac:dyDescent="0.2">
      <c r="A59" s="501" t="s">
        <v>523</v>
      </c>
      <c r="B59" s="501" t="s">
        <v>524</v>
      </c>
      <c r="C59" s="500">
        <v>7453.75</v>
      </c>
      <c r="D59" s="500">
        <v>2891.12</v>
      </c>
      <c r="E59" s="500">
        <v>4562.63</v>
      </c>
    </row>
    <row r="60" spans="1:5" x14ac:dyDescent="0.2">
      <c r="A60" s="501" t="s">
        <v>525</v>
      </c>
      <c r="B60" s="501" t="s">
        <v>526</v>
      </c>
      <c r="C60" s="500">
        <v>9686.02</v>
      </c>
      <c r="D60" s="500">
        <v>4746.6099999999997</v>
      </c>
      <c r="E60" s="500">
        <v>4939.41</v>
      </c>
    </row>
    <row r="61" spans="1:5" x14ac:dyDescent="0.2">
      <c r="A61" s="501" t="s">
        <v>527</v>
      </c>
      <c r="B61" s="501" t="s">
        <v>528</v>
      </c>
      <c r="C61" s="500">
        <v>107337.88</v>
      </c>
      <c r="D61" s="500">
        <v>83323.08</v>
      </c>
      <c r="E61" s="500">
        <v>24014.799999999999</v>
      </c>
    </row>
    <row r="62" spans="1:5" x14ac:dyDescent="0.2">
      <c r="A62" s="501" t="s">
        <v>529</v>
      </c>
      <c r="B62" s="501" t="s">
        <v>530</v>
      </c>
      <c r="C62" s="500">
        <v>0</v>
      </c>
      <c r="D62" s="500">
        <v>7124.63</v>
      </c>
      <c r="E62" s="500">
        <v>-7124.63</v>
      </c>
    </row>
    <row r="63" spans="1:5" x14ac:dyDescent="0.2">
      <c r="A63" s="501" t="s">
        <v>531</v>
      </c>
      <c r="B63" s="501" t="s">
        <v>532</v>
      </c>
      <c r="C63" s="500">
        <v>18036.29</v>
      </c>
      <c r="D63" s="500">
        <v>20816.77</v>
      </c>
      <c r="E63" s="500">
        <v>-2780.48</v>
      </c>
    </row>
    <row r="64" spans="1:5" x14ac:dyDescent="0.2">
      <c r="A64" s="501" t="s">
        <v>533</v>
      </c>
      <c r="B64" s="501" t="s">
        <v>534</v>
      </c>
      <c r="C64" s="500">
        <v>45056.19</v>
      </c>
      <c r="D64" s="500">
        <v>75215.679999999993</v>
      </c>
      <c r="E64" s="500">
        <v>-30159.49</v>
      </c>
    </row>
    <row r="65" spans="1:5" x14ac:dyDescent="0.2">
      <c r="A65" s="501" t="s">
        <v>535</v>
      </c>
      <c r="B65" s="501" t="s">
        <v>536</v>
      </c>
      <c r="C65" s="500">
        <v>319.79000000000002</v>
      </c>
      <c r="D65" s="500">
        <v>0</v>
      </c>
      <c r="E65" s="500">
        <v>319.79000000000002</v>
      </c>
    </row>
    <row r="66" spans="1:5" x14ac:dyDescent="0.2">
      <c r="A66" s="501" t="s">
        <v>537</v>
      </c>
      <c r="B66" s="501" t="s">
        <v>538</v>
      </c>
      <c r="C66" s="500">
        <v>16049.22</v>
      </c>
      <c r="D66" s="500">
        <v>21338.54</v>
      </c>
      <c r="E66" s="500">
        <v>-5289.32</v>
      </c>
    </row>
    <row r="67" spans="1:5" x14ac:dyDescent="0.2">
      <c r="A67" s="501" t="s">
        <v>539</v>
      </c>
      <c r="B67" s="501" t="s">
        <v>540</v>
      </c>
      <c r="C67" s="500">
        <v>18418.62</v>
      </c>
      <c r="D67" s="500">
        <v>3851.95</v>
      </c>
      <c r="E67" s="500">
        <v>14566.67</v>
      </c>
    </row>
    <row r="68" spans="1:5" x14ac:dyDescent="0.2">
      <c r="A68" s="501" t="s">
        <v>541</v>
      </c>
      <c r="B68" s="501" t="s">
        <v>542</v>
      </c>
      <c r="C68" s="500">
        <v>37000</v>
      </c>
      <c r="D68" s="500">
        <v>7500</v>
      </c>
      <c r="E68" s="500">
        <v>29500</v>
      </c>
    </row>
    <row r="69" spans="1:5" x14ac:dyDescent="0.2">
      <c r="A69" s="501" t="s">
        <v>543</v>
      </c>
      <c r="B69" s="501" t="s">
        <v>544</v>
      </c>
      <c r="C69" s="500">
        <v>4413.5</v>
      </c>
      <c r="D69" s="500">
        <v>2243.48</v>
      </c>
      <c r="E69" s="500">
        <v>2170.02</v>
      </c>
    </row>
    <row r="70" spans="1:5" x14ac:dyDescent="0.2">
      <c r="A70" s="501" t="s">
        <v>545</v>
      </c>
      <c r="B70" s="501" t="s">
        <v>546</v>
      </c>
      <c r="C70" s="500">
        <v>1577.73</v>
      </c>
      <c r="D70" s="500">
        <v>857.72</v>
      </c>
      <c r="E70" s="500">
        <v>720.01</v>
      </c>
    </row>
    <row r="71" spans="1:5" x14ac:dyDescent="0.2">
      <c r="A71" s="501" t="s">
        <v>547</v>
      </c>
      <c r="B71" s="501" t="s">
        <v>548</v>
      </c>
      <c r="C71" s="500">
        <v>2882.78</v>
      </c>
      <c r="D71" s="500">
        <v>1757.38</v>
      </c>
      <c r="E71" s="500">
        <v>1125.4000000000001</v>
      </c>
    </row>
    <row r="72" spans="1:5" x14ac:dyDescent="0.2">
      <c r="A72" s="501" t="s">
        <v>549</v>
      </c>
      <c r="B72" s="501" t="s">
        <v>550</v>
      </c>
      <c r="C72" s="500">
        <v>947.18</v>
      </c>
      <c r="D72" s="500">
        <v>1083.29</v>
      </c>
      <c r="E72" s="500">
        <v>-136.11000000000001</v>
      </c>
    </row>
    <row r="73" spans="1:5" x14ac:dyDescent="0.2">
      <c r="A73" s="501" t="s">
        <v>551</v>
      </c>
      <c r="B73" s="501" t="s">
        <v>552</v>
      </c>
      <c r="C73" s="500">
        <v>57590.39</v>
      </c>
      <c r="D73" s="500">
        <v>55084.93</v>
      </c>
      <c r="E73" s="500">
        <v>2505.46</v>
      </c>
    </row>
    <row r="74" spans="1:5" x14ac:dyDescent="0.2">
      <c r="A74" s="501" t="s">
        <v>553</v>
      </c>
      <c r="B74" s="501" t="s">
        <v>554</v>
      </c>
      <c r="C74" s="500">
        <v>-246.19</v>
      </c>
      <c r="D74" s="500">
        <v>0</v>
      </c>
      <c r="E74" s="500">
        <v>-246.19</v>
      </c>
    </row>
    <row r="75" spans="1:5" x14ac:dyDescent="0.2">
      <c r="A75" s="501" t="s">
        <v>555</v>
      </c>
      <c r="B75" s="501" t="s">
        <v>299</v>
      </c>
      <c r="C75" s="500">
        <v>963213.07</v>
      </c>
      <c r="D75" s="500">
        <v>558224.71</v>
      </c>
      <c r="E75" s="500">
        <v>404988.36</v>
      </c>
    </row>
    <row r="76" spans="1:5" x14ac:dyDescent="0.2">
      <c r="A76" s="501" t="s">
        <v>556</v>
      </c>
      <c r="B76" s="501" t="s">
        <v>557</v>
      </c>
      <c r="C76" s="500">
        <v>40893.78</v>
      </c>
      <c r="D76" s="500">
        <v>41674.94</v>
      </c>
      <c r="E76" s="500">
        <v>-781.16</v>
      </c>
    </row>
    <row r="77" spans="1:5" x14ac:dyDescent="0.2">
      <c r="A77" s="501" t="s">
        <v>558</v>
      </c>
      <c r="B77" s="501" t="s">
        <v>559</v>
      </c>
      <c r="C77" s="500">
        <v>38447</v>
      </c>
      <c r="D77" s="500">
        <v>15170.29</v>
      </c>
      <c r="E77" s="500">
        <v>23276.71</v>
      </c>
    </row>
    <row r="78" spans="1:5" x14ac:dyDescent="0.2">
      <c r="A78" s="501" t="s">
        <v>560</v>
      </c>
      <c r="B78" s="501" t="s">
        <v>561</v>
      </c>
      <c r="C78" s="500">
        <v>27636.7</v>
      </c>
      <c r="D78" s="500">
        <v>17301.48</v>
      </c>
      <c r="E78" s="500">
        <v>10335.219999999999</v>
      </c>
    </row>
    <row r="79" spans="1:5" x14ac:dyDescent="0.2">
      <c r="A79" s="501" t="s">
        <v>562</v>
      </c>
      <c r="B79" s="501" t="s">
        <v>299</v>
      </c>
      <c r="C79" s="500">
        <v>106977.48</v>
      </c>
      <c r="D79" s="500">
        <v>74146.710000000006</v>
      </c>
      <c r="E79" s="500">
        <v>32830.769999999997</v>
      </c>
    </row>
    <row r="80" spans="1:5" x14ac:dyDescent="0.2">
      <c r="A80" s="501" t="s">
        <v>563</v>
      </c>
      <c r="B80" s="501" t="s">
        <v>564</v>
      </c>
      <c r="C80" s="500">
        <v>0</v>
      </c>
      <c r="D80" s="500">
        <v>8.1300000000000008</v>
      </c>
      <c r="E80" s="500">
        <v>-8.1300000000000008</v>
      </c>
    </row>
    <row r="81" spans="1:5" x14ac:dyDescent="0.2">
      <c r="A81" s="501" t="s">
        <v>565</v>
      </c>
      <c r="B81" s="501" t="s">
        <v>566</v>
      </c>
      <c r="C81" s="500">
        <v>-0.27</v>
      </c>
      <c r="D81" s="500">
        <v>0</v>
      </c>
      <c r="E81" s="500">
        <v>-0.27</v>
      </c>
    </row>
    <row r="82" spans="1:5" x14ac:dyDescent="0.2">
      <c r="A82" s="501" t="s">
        <v>567</v>
      </c>
      <c r="B82" s="501" t="s">
        <v>299</v>
      </c>
      <c r="C82" s="500">
        <v>-0.27</v>
      </c>
      <c r="D82" s="500">
        <v>8.1300000000000008</v>
      </c>
      <c r="E82" s="500">
        <v>-8.4</v>
      </c>
    </row>
    <row r="83" spans="1:5" x14ac:dyDescent="0.2">
      <c r="A83" s="501" t="s">
        <v>568</v>
      </c>
      <c r="B83" s="501" t="s">
        <v>569</v>
      </c>
      <c r="C83" s="500">
        <v>306764.15000000002</v>
      </c>
      <c r="D83" s="500">
        <v>361713.54</v>
      </c>
      <c r="E83" s="500">
        <v>-54949.39</v>
      </c>
    </row>
    <row r="84" spans="1:5" x14ac:dyDescent="0.2">
      <c r="A84" s="501" t="s">
        <v>570</v>
      </c>
      <c r="B84" s="501" t="s">
        <v>571</v>
      </c>
      <c r="C84" s="500">
        <v>0</v>
      </c>
      <c r="D84" s="500">
        <v>-108445.67</v>
      </c>
      <c r="E84" s="500">
        <v>108445.67</v>
      </c>
    </row>
    <row r="85" spans="1:5" x14ac:dyDescent="0.2">
      <c r="A85" s="501" t="s">
        <v>572</v>
      </c>
      <c r="B85" s="501" t="s">
        <v>299</v>
      </c>
      <c r="C85" s="500">
        <v>306764.15000000002</v>
      </c>
      <c r="D85" s="500">
        <v>253267.87</v>
      </c>
      <c r="E85" s="500">
        <v>53496.28</v>
      </c>
    </row>
    <row r="86" spans="1:5" x14ac:dyDescent="0.2">
      <c r="A86" s="501" t="s">
        <v>573</v>
      </c>
      <c r="B86" s="501" t="s">
        <v>299</v>
      </c>
      <c r="C86" s="500">
        <v>1903426.52</v>
      </c>
      <c r="D86" s="500">
        <v>1236248.27</v>
      </c>
      <c r="E86" s="500">
        <v>667178.25</v>
      </c>
    </row>
    <row r="87" spans="1:5" x14ac:dyDescent="0.2">
      <c r="A87" s="501" t="s">
        <v>574</v>
      </c>
      <c r="B87" s="501" t="s">
        <v>299</v>
      </c>
      <c r="C87" s="500">
        <v>84916.479999999996</v>
      </c>
      <c r="D87" s="500">
        <v>-1062168.81</v>
      </c>
      <c r="E87" s="500">
        <v>1147085.29</v>
      </c>
    </row>
    <row r="88" spans="1:5" x14ac:dyDescent="0.2">
      <c r="A88" s="501" t="s">
        <v>575</v>
      </c>
      <c r="B88" s="501" t="s">
        <v>299</v>
      </c>
      <c r="C88" s="500">
        <v>84916.479999999996</v>
      </c>
      <c r="D88" s="500">
        <v>-1062168.81</v>
      </c>
      <c r="E88" s="500">
        <v>1147085.29</v>
      </c>
    </row>
    <row r="89" spans="1:5" x14ac:dyDescent="0.2">
      <c r="A89" s="501" t="s">
        <v>576</v>
      </c>
      <c r="B89" s="501" t="s">
        <v>299</v>
      </c>
      <c r="C89" s="500">
        <v>0</v>
      </c>
      <c r="D89" s="500">
        <v>0</v>
      </c>
      <c r="E89" s="500">
        <v>0</v>
      </c>
    </row>
    <row r="90" spans="1:5" x14ac:dyDescent="0.2">
      <c r="A90" s="501" t="s">
        <v>577</v>
      </c>
      <c r="B90" s="501" t="s">
        <v>299</v>
      </c>
      <c r="C90" s="500">
        <v>0</v>
      </c>
      <c r="D90" s="500">
        <v>0</v>
      </c>
      <c r="E90" s="500">
        <v>0</v>
      </c>
    </row>
    <row r="91" spans="1:5" x14ac:dyDescent="0.2">
      <c r="A91" s="501" t="s">
        <v>578</v>
      </c>
      <c r="B91" s="501" t="s">
        <v>579</v>
      </c>
      <c r="C91" s="500">
        <v>-566.25</v>
      </c>
      <c r="D91" s="500">
        <v>0</v>
      </c>
      <c r="E91" s="500">
        <v>-566.25</v>
      </c>
    </row>
    <row r="92" spans="1:5" x14ac:dyDescent="0.2">
      <c r="A92" s="501" t="s">
        <v>580</v>
      </c>
      <c r="B92" s="501" t="s">
        <v>299</v>
      </c>
      <c r="C92" s="500">
        <v>-566.25</v>
      </c>
      <c r="D92" s="500">
        <v>0</v>
      </c>
      <c r="E92" s="500">
        <v>-566.25</v>
      </c>
    </row>
    <row r="93" spans="1:5" x14ac:dyDescent="0.2">
      <c r="A93" s="501" t="s">
        <v>581</v>
      </c>
      <c r="B93" s="501" t="s">
        <v>582</v>
      </c>
      <c r="C93" s="500">
        <v>-53923.71</v>
      </c>
      <c r="D93" s="500">
        <v>-53862.98</v>
      </c>
      <c r="E93" s="500">
        <v>-60.73</v>
      </c>
    </row>
    <row r="94" spans="1:5" x14ac:dyDescent="0.2">
      <c r="A94" s="501" t="s">
        <v>583</v>
      </c>
      <c r="B94" s="501" t="s">
        <v>584</v>
      </c>
      <c r="C94" s="500">
        <v>0</v>
      </c>
      <c r="D94" s="500">
        <v>1926.79</v>
      </c>
      <c r="E94" s="500">
        <v>-1926.79</v>
      </c>
    </row>
    <row r="95" spans="1:5" x14ac:dyDescent="0.2">
      <c r="A95" s="501" t="s">
        <v>585</v>
      </c>
      <c r="B95" s="501" t="s">
        <v>586</v>
      </c>
      <c r="C95" s="500">
        <v>0</v>
      </c>
      <c r="D95" s="500">
        <v>-379.37</v>
      </c>
      <c r="E95" s="500">
        <v>379.37</v>
      </c>
    </row>
    <row r="96" spans="1:5" x14ac:dyDescent="0.2">
      <c r="A96" s="501" t="s">
        <v>587</v>
      </c>
      <c r="B96" s="501" t="s">
        <v>299</v>
      </c>
      <c r="C96" s="500">
        <v>-53923.71</v>
      </c>
      <c r="D96" s="500">
        <v>-52315.56</v>
      </c>
      <c r="E96" s="500">
        <v>-1608.15</v>
      </c>
    </row>
    <row r="97" spans="1:5" x14ac:dyDescent="0.2">
      <c r="A97" s="501" t="s">
        <v>588</v>
      </c>
      <c r="B97" s="501" t="s">
        <v>299</v>
      </c>
      <c r="C97" s="500">
        <v>-54489.96</v>
      </c>
      <c r="D97" s="500">
        <v>-52315.56</v>
      </c>
      <c r="E97" s="500">
        <v>-2174.4</v>
      </c>
    </row>
    <row r="98" spans="1:5" x14ac:dyDescent="0.2">
      <c r="A98" s="501" t="s">
        <v>589</v>
      </c>
      <c r="B98" s="501" t="s">
        <v>299</v>
      </c>
      <c r="C98" s="500">
        <v>0</v>
      </c>
      <c r="D98" s="500">
        <v>0</v>
      </c>
      <c r="E98" s="500">
        <v>0</v>
      </c>
    </row>
    <row r="99" spans="1:5" x14ac:dyDescent="0.2">
      <c r="A99" s="501" t="s">
        <v>590</v>
      </c>
      <c r="B99" s="501" t="s">
        <v>591</v>
      </c>
      <c r="C99" s="500">
        <v>-53.32</v>
      </c>
      <c r="D99" s="500">
        <v>0</v>
      </c>
      <c r="E99" s="500">
        <v>-53.32</v>
      </c>
    </row>
    <row r="100" spans="1:5" x14ac:dyDescent="0.2">
      <c r="A100" s="501" t="s">
        <v>592</v>
      </c>
      <c r="B100" s="501" t="s">
        <v>593</v>
      </c>
      <c r="C100" s="500">
        <v>53538.75</v>
      </c>
      <c r="D100" s="500">
        <v>28850.38</v>
      </c>
      <c r="E100" s="500">
        <v>24688.37</v>
      </c>
    </row>
    <row r="101" spans="1:5" x14ac:dyDescent="0.2">
      <c r="A101" s="501" t="s">
        <v>594</v>
      </c>
      <c r="B101" s="501" t="s">
        <v>595</v>
      </c>
      <c r="C101" s="500">
        <v>65300.62</v>
      </c>
      <c r="D101" s="500">
        <v>0</v>
      </c>
      <c r="E101" s="500">
        <v>65300.62</v>
      </c>
    </row>
    <row r="102" spans="1:5" x14ac:dyDescent="0.2">
      <c r="A102" s="501" t="s">
        <v>596</v>
      </c>
      <c r="B102" s="501" t="s">
        <v>597</v>
      </c>
      <c r="C102" s="500">
        <v>0</v>
      </c>
      <c r="D102" s="500">
        <v>11785.29</v>
      </c>
      <c r="E102" s="500">
        <v>-11785.29</v>
      </c>
    </row>
    <row r="103" spans="1:5" x14ac:dyDescent="0.2">
      <c r="A103" s="501" t="s">
        <v>598</v>
      </c>
      <c r="B103" s="501" t="s">
        <v>599</v>
      </c>
      <c r="C103" s="500">
        <v>0</v>
      </c>
      <c r="D103" s="500">
        <v>-8.9600000000000009</v>
      </c>
      <c r="E103" s="500">
        <v>8.9600000000000009</v>
      </c>
    </row>
    <row r="104" spans="1:5" x14ac:dyDescent="0.2">
      <c r="A104" s="501" t="s">
        <v>600</v>
      </c>
      <c r="B104" s="501" t="s">
        <v>299</v>
      </c>
      <c r="C104" s="500">
        <v>118786.05</v>
      </c>
      <c r="D104" s="500">
        <v>40626.71</v>
      </c>
      <c r="E104" s="500">
        <v>78159.34</v>
      </c>
    </row>
    <row r="105" spans="1:5" x14ac:dyDescent="0.2">
      <c r="A105" s="501" t="s">
        <v>601</v>
      </c>
      <c r="B105" s="501" t="s">
        <v>602</v>
      </c>
      <c r="C105" s="500">
        <v>11943.7</v>
      </c>
      <c r="D105" s="500">
        <v>4615.0600000000004</v>
      </c>
      <c r="E105" s="500">
        <v>7328.64</v>
      </c>
    </row>
    <row r="106" spans="1:5" x14ac:dyDescent="0.2">
      <c r="A106" s="501" t="s">
        <v>603</v>
      </c>
      <c r="B106" s="501" t="s">
        <v>299</v>
      </c>
      <c r="C106" s="500">
        <v>11943.7</v>
      </c>
      <c r="D106" s="500">
        <v>4615.0600000000004</v>
      </c>
      <c r="E106" s="500">
        <v>7328.64</v>
      </c>
    </row>
    <row r="107" spans="1:5" x14ac:dyDescent="0.2">
      <c r="A107" s="501" t="s">
        <v>604</v>
      </c>
      <c r="B107" s="501" t="s">
        <v>299</v>
      </c>
      <c r="C107" s="500">
        <v>130729.75</v>
      </c>
      <c r="D107" s="500">
        <v>45241.77</v>
      </c>
      <c r="E107" s="500">
        <v>85487.98</v>
      </c>
    </row>
    <row r="108" spans="1:5" x14ac:dyDescent="0.2">
      <c r="A108" s="501" t="s">
        <v>605</v>
      </c>
      <c r="B108" s="501" t="s">
        <v>299</v>
      </c>
      <c r="C108" s="500">
        <v>76239.789999999994</v>
      </c>
      <c r="D108" s="500">
        <v>-7073.79</v>
      </c>
      <c r="E108" s="500">
        <v>83313.58</v>
      </c>
    </row>
    <row r="109" spans="1:5" x14ac:dyDescent="0.2">
      <c r="A109" s="501" t="s">
        <v>606</v>
      </c>
      <c r="B109" s="501" t="s">
        <v>299</v>
      </c>
      <c r="C109" s="500">
        <v>161156.26999999999</v>
      </c>
      <c r="D109" s="500">
        <v>-1069242.6000000001</v>
      </c>
      <c r="E109" s="500">
        <v>1230398.8700000001</v>
      </c>
    </row>
    <row r="110" spans="1:5" x14ac:dyDescent="0.2">
      <c r="A110" s="501" t="s">
        <v>607</v>
      </c>
      <c r="B110" s="501" t="s">
        <v>299</v>
      </c>
      <c r="C110" s="500">
        <v>0</v>
      </c>
      <c r="D110" s="500">
        <v>0</v>
      </c>
      <c r="E110" s="500">
        <v>0</v>
      </c>
    </row>
    <row r="111" spans="1:5" x14ac:dyDescent="0.2">
      <c r="A111" s="501" t="s">
        <v>608</v>
      </c>
      <c r="B111" s="501" t="s">
        <v>609</v>
      </c>
      <c r="C111" s="500">
        <v>-48347</v>
      </c>
      <c r="D111" s="500">
        <v>323000</v>
      </c>
      <c r="E111" s="500">
        <v>-371347</v>
      </c>
    </row>
    <row r="112" spans="1:5" x14ac:dyDescent="0.2">
      <c r="A112" s="501" t="s">
        <v>610</v>
      </c>
      <c r="B112" s="501" t="s">
        <v>299</v>
      </c>
      <c r="C112" s="500">
        <v>-48347</v>
      </c>
      <c r="D112" s="500">
        <v>323000</v>
      </c>
      <c r="E112" s="500">
        <v>-371347</v>
      </c>
    </row>
    <row r="113" spans="1:5" x14ac:dyDescent="0.2">
      <c r="A113" s="501" t="s">
        <v>611</v>
      </c>
      <c r="B113" s="501" t="s">
        <v>299</v>
      </c>
      <c r="C113" s="500">
        <v>-48347</v>
      </c>
      <c r="D113" s="500">
        <v>323000</v>
      </c>
      <c r="E113" s="500">
        <v>-371347</v>
      </c>
    </row>
    <row r="114" spans="1:5" x14ac:dyDescent="0.2">
      <c r="A114" s="501" t="s">
        <v>612</v>
      </c>
      <c r="B114" s="501" t="s">
        <v>299</v>
      </c>
      <c r="C114" s="500">
        <v>112809.27</v>
      </c>
      <c r="D114" s="500">
        <v>-746242.6</v>
      </c>
      <c r="E114" s="500">
        <v>859051.87</v>
      </c>
    </row>
    <row r="115" spans="1:5" x14ac:dyDescent="0.2">
      <c r="A115" s="501" t="s">
        <v>613</v>
      </c>
      <c r="B115" s="501" t="s">
        <v>299</v>
      </c>
      <c r="C115" s="500">
        <v>112809.27</v>
      </c>
      <c r="D115" s="500">
        <v>-746242.6</v>
      </c>
      <c r="E115" s="500">
        <v>859051.87</v>
      </c>
    </row>
    <row r="116" spans="1:5" x14ac:dyDescent="0.2">
      <c r="A116" s="501" t="s">
        <v>614</v>
      </c>
      <c r="B116" s="501" t="s">
        <v>615</v>
      </c>
      <c r="C116" s="500">
        <v>5153.05</v>
      </c>
      <c r="D116" s="500">
        <v>3982.44</v>
      </c>
      <c r="E116" s="500">
        <v>1170.6099999999999</v>
      </c>
    </row>
    <row r="117" spans="1:5" x14ac:dyDescent="0.2">
      <c r="A117" s="501" t="s">
        <v>616</v>
      </c>
      <c r="B117" s="501" t="s">
        <v>617</v>
      </c>
      <c r="C117" s="500">
        <v>11595.25</v>
      </c>
      <c r="D117" s="500">
        <v>20353.29</v>
      </c>
      <c r="E117" s="500">
        <v>-8758.0400000000009</v>
      </c>
    </row>
    <row r="118" spans="1:5" x14ac:dyDescent="0.2">
      <c r="A118" s="501" t="s">
        <v>618</v>
      </c>
      <c r="B118" s="501" t="s">
        <v>619</v>
      </c>
      <c r="C118" s="500">
        <v>145146.95000000001</v>
      </c>
      <c r="D118" s="500">
        <v>900986.56</v>
      </c>
      <c r="E118" s="500">
        <v>-755839.61</v>
      </c>
    </row>
    <row r="119" spans="1:5" x14ac:dyDescent="0.2">
      <c r="A119" s="501" t="s">
        <v>620</v>
      </c>
      <c r="B119" s="501" t="s">
        <v>621</v>
      </c>
      <c r="C119" s="500">
        <v>1491.88</v>
      </c>
      <c r="D119" s="500">
        <v>405.06</v>
      </c>
      <c r="E119" s="500">
        <v>1086.82</v>
      </c>
    </row>
    <row r="120" spans="1:5" x14ac:dyDescent="0.2">
      <c r="A120" s="501" t="s">
        <v>622</v>
      </c>
      <c r="B120" s="501" t="s">
        <v>623</v>
      </c>
      <c r="C120" s="500">
        <v>6836.94</v>
      </c>
      <c r="D120" s="500">
        <v>14590.95</v>
      </c>
      <c r="E120" s="500">
        <v>-7754.01</v>
      </c>
    </row>
    <row r="121" spans="1:5" x14ac:dyDescent="0.2">
      <c r="A121" s="501" t="s">
        <v>624</v>
      </c>
      <c r="B121" s="501" t="s">
        <v>625</v>
      </c>
      <c r="C121" s="500">
        <v>-9238813.2100000009</v>
      </c>
      <c r="D121" s="500">
        <v>-9560195.75</v>
      </c>
      <c r="E121" s="500">
        <v>321382.53999999998</v>
      </c>
    </row>
    <row r="122" spans="1:5" x14ac:dyDescent="0.2">
      <c r="A122" s="501" t="s">
        <v>626</v>
      </c>
      <c r="B122" s="501" t="s">
        <v>627</v>
      </c>
      <c r="C122" s="500">
        <v>1091282.8</v>
      </c>
      <c r="D122" s="500">
        <v>653183.76</v>
      </c>
      <c r="E122" s="500">
        <v>438099.04</v>
      </c>
    </row>
    <row r="123" spans="1:5" x14ac:dyDescent="0.2">
      <c r="A123" s="501" t="s">
        <v>628</v>
      </c>
      <c r="B123" s="501" t="s">
        <v>629</v>
      </c>
      <c r="C123" s="500">
        <v>117548.66</v>
      </c>
      <c r="D123" s="500">
        <v>542683.07999999996</v>
      </c>
      <c r="E123" s="500">
        <v>-425134.42</v>
      </c>
    </row>
    <row r="124" spans="1:5" x14ac:dyDescent="0.2">
      <c r="A124" s="501" t="s">
        <v>630</v>
      </c>
      <c r="B124" s="501" t="s">
        <v>631</v>
      </c>
      <c r="C124" s="500">
        <v>-26320.82</v>
      </c>
      <c r="D124" s="500">
        <v>-23108.17</v>
      </c>
      <c r="E124" s="500">
        <v>-3212.65</v>
      </c>
    </row>
    <row r="125" spans="1:5" x14ac:dyDescent="0.2">
      <c r="A125" s="501" t="s">
        <v>632</v>
      </c>
      <c r="B125" s="501" t="s">
        <v>633</v>
      </c>
      <c r="C125" s="500">
        <v>3999.54</v>
      </c>
      <c r="D125" s="500">
        <v>7754.03</v>
      </c>
      <c r="E125" s="500">
        <v>-3754.49</v>
      </c>
    </row>
    <row r="126" spans="1:5" x14ac:dyDescent="0.2">
      <c r="A126" s="501" t="s">
        <v>634</v>
      </c>
      <c r="B126" s="501" t="s">
        <v>635</v>
      </c>
      <c r="C126" s="500">
        <v>1246.23</v>
      </c>
      <c r="D126" s="500">
        <v>10236.540000000001</v>
      </c>
      <c r="E126" s="500">
        <v>-8990.31</v>
      </c>
    </row>
    <row r="127" spans="1:5" x14ac:dyDescent="0.2">
      <c r="A127" s="501" t="s">
        <v>636</v>
      </c>
      <c r="B127" s="501" t="s">
        <v>637</v>
      </c>
      <c r="C127" s="500">
        <v>10019.25</v>
      </c>
      <c r="D127" s="500">
        <v>10019.25</v>
      </c>
      <c r="E127" s="500">
        <v>0</v>
      </c>
    </row>
    <row r="128" spans="1:5" x14ac:dyDescent="0.2">
      <c r="A128" s="501" t="s">
        <v>638</v>
      </c>
      <c r="B128" s="501" t="s">
        <v>639</v>
      </c>
      <c r="C128" s="500">
        <v>25643.59</v>
      </c>
      <c r="D128" s="500">
        <v>36778.51</v>
      </c>
      <c r="E128" s="500">
        <v>-11134.92</v>
      </c>
    </row>
    <row r="129" spans="1:5" x14ac:dyDescent="0.2">
      <c r="A129" s="501" t="s">
        <v>640</v>
      </c>
      <c r="B129" s="501" t="s">
        <v>641</v>
      </c>
      <c r="C129" s="500">
        <v>3226.81</v>
      </c>
      <c r="D129" s="500">
        <v>3922.7</v>
      </c>
      <c r="E129" s="500">
        <v>-695.89</v>
      </c>
    </row>
    <row r="130" spans="1:5" x14ac:dyDescent="0.2">
      <c r="A130" s="501" t="s">
        <v>642</v>
      </c>
      <c r="B130" s="501" t="s">
        <v>643</v>
      </c>
      <c r="C130" s="500">
        <v>213904.04</v>
      </c>
      <c r="D130" s="500">
        <v>350052.45</v>
      </c>
      <c r="E130" s="500">
        <v>-136148.41</v>
      </c>
    </row>
    <row r="131" spans="1:5" x14ac:dyDescent="0.2">
      <c r="A131" s="501" t="s">
        <v>644</v>
      </c>
      <c r="B131" s="501" t="s">
        <v>645</v>
      </c>
      <c r="C131" s="500">
        <v>916002.6</v>
      </c>
      <c r="D131" s="500">
        <v>529483.43000000005</v>
      </c>
      <c r="E131" s="500">
        <v>386519.17</v>
      </c>
    </row>
    <row r="132" spans="1:5" x14ac:dyDescent="0.2">
      <c r="A132" s="501" t="s">
        <v>646</v>
      </c>
      <c r="B132" s="501" t="s">
        <v>647</v>
      </c>
      <c r="C132" s="500">
        <v>8386.56</v>
      </c>
      <c r="D132" s="500">
        <v>3530.53</v>
      </c>
      <c r="E132" s="500">
        <v>4856.03</v>
      </c>
    </row>
    <row r="133" spans="1:5" x14ac:dyDescent="0.2">
      <c r="A133" s="501" t="s">
        <v>648</v>
      </c>
      <c r="B133" s="501" t="s">
        <v>649</v>
      </c>
      <c r="C133" s="500">
        <v>478574.98</v>
      </c>
      <c r="D133" s="500">
        <v>787442.44</v>
      </c>
      <c r="E133" s="500">
        <v>-308867.46000000002</v>
      </c>
    </row>
    <row r="134" spans="1:5" x14ac:dyDescent="0.2">
      <c r="A134" s="501" t="s">
        <v>650</v>
      </c>
      <c r="B134" s="501" t="s">
        <v>651</v>
      </c>
      <c r="C134" s="500">
        <v>3634.75</v>
      </c>
      <c r="D134" s="500">
        <v>66017.84</v>
      </c>
      <c r="E134" s="500">
        <v>-62383.09</v>
      </c>
    </row>
    <row r="135" spans="1:5" x14ac:dyDescent="0.2">
      <c r="A135" s="501" t="s">
        <v>652</v>
      </c>
      <c r="B135" s="501" t="s">
        <v>653</v>
      </c>
      <c r="C135" s="500">
        <v>0</v>
      </c>
      <c r="D135" s="500">
        <v>-99540.49</v>
      </c>
      <c r="E135" s="500">
        <v>99540.49</v>
      </c>
    </row>
    <row r="136" spans="1:5" x14ac:dyDescent="0.2">
      <c r="A136" s="501" t="s">
        <v>654</v>
      </c>
      <c r="B136" s="501" t="s">
        <v>655</v>
      </c>
      <c r="C136" s="500">
        <v>-28671.14</v>
      </c>
      <c r="D136" s="500">
        <v>0</v>
      </c>
      <c r="E136" s="500">
        <v>-28671.14</v>
      </c>
    </row>
    <row r="137" spans="1:5" x14ac:dyDescent="0.2">
      <c r="A137" s="499" t="s">
        <v>656</v>
      </c>
      <c r="B137" s="501" t="s">
        <v>657</v>
      </c>
      <c r="C137" s="500">
        <v>1779386.98</v>
      </c>
      <c r="D137" s="500">
        <v>3560752.89</v>
      </c>
      <c r="E137" s="500">
        <v>-1781365.91</v>
      </c>
    </row>
    <row r="138" spans="1:5" x14ac:dyDescent="0.2">
      <c r="A138" s="499" t="s">
        <v>658</v>
      </c>
      <c r="B138" s="501" t="s">
        <v>659</v>
      </c>
      <c r="C138" s="500">
        <v>2156793.0499999998</v>
      </c>
      <c r="D138" s="500">
        <v>3141946.04</v>
      </c>
      <c r="E138" s="500">
        <v>-985152.99</v>
      </c>
    </row>
    <row r="139" spans="1:5" x14ac:dyDescent="0.2">
      <c r="A139" s="499" t="s">
        <v>660</v>
      </c>
      <c r="B139" s="501" t="s">
        <v>661</v>
      </c>
      <c r="C139" s="500">
        <v>29329.66</v>
      </c>
      <c r="D139" s="500">
        <v>140112.69</v>
      </c>
      <c r="E139" s="500">
        <v>-110783.03</v>
      </c>
    </row>
    <row r="140" spans="1:5" x14ac:dyDescent="0.2">
      <c r="A140" s="499" t="s">
        <v>662</v>
      </c>
      <c r="B140" s="501" t="s">
        <v>663</v>
      </c>
      <c r="C140" s="500">
        <v>4648196.54</v>
      </c>
      <c r="D140" s="500">
        <v>2269687.9700000002</v>
      </c>
      <c r="E140" s="500">
        <v>2378508.5699999998</v>
      </c>
    </row>
    <row r="141" spans="1:5" x14ac:dyDescent="0.2">
      <c r="A141" s="499" t="s">
        <v>664</v>
      </c>
      <c r="B141" s="501" t="s">
        <v>665</v>
      </c>
      <c r="C141" s="500">
        <v>-31932</v>
      </c>
      <c r="D141" s="500">
        <v>-49932</v>
      </c>
      <c r="E141" s="500">
        <v>18000</v>
      </c>
    </row>
    <row r="142" spans="1:5" x14ac:dyDescent="0.2">
      <c r="A142" s="499" t="s">
        <v>666</v>
      </c>
      <c r="B142" s="501" t="s">
        <v>667</v>
      </c>
      <c r="C142" s="500">
        <v>-168276.98</v>
      </c>
      <c r="D142" s="500">
        <v>-218328.89</v>
      </c>
      <c r="E142" s="500">
        <v>50051.91</v>
      </c>
    </row>
    <row r="143" spans="1:5" x14ac:dyDescent="0.2">
      <c r="A143" s="499" t="s">
        <v>668</v>
      </c>
      <c r="B143" s="501" t="s">
        <v>669</v>
      </c>
      <c r="C143" s="500">
        <v>-132011.04999999999</v>
      </c>
      <c r="D143" s="500">
        <v>-171164.21</v>
      </c>
      <c r="E143" s="500">
        <v>39153.160000000003</v>
      </c>
    </row>
    <row r="144" spans="1:5" x14ac:dyDescent="0.2">
      <c r="A144" s="499" t="s">
        <v>670</v>
      </c>
      <c r="B144" s="501" t="s">
        <v>671</v>
      </c>
      <c r="C144" s="500">
        <v>-1869.66</v>
      </c>
      <c r="D144" s="500">
        <v>-8537.69</v>
      </c>
      <c r="E144" s="500">
        <v>6668.03</v>
      </c>
    </row>
    <row r="145" spans="1:5" x14ac:dyDescent="0.2">
      <c r="A145" s="501" t="s">
        <v>672</v>
      </c>
      <c r="B145" s="501" t="s">
        <v>673</v>
      </c>
      <c r="C145" s="500">
        <v>-69903</v>
      </c>
      <c r="D145" s="500">
        <v>-69903</v>
      </c>
      <c r="E145" s="500">
        <v>0</v>
      </c>
    </row>
    <row r="146" spans="1:5" x14ac:dyDescent="0.2">
      <c r="A146" s="501" t="s">
        <v>674</v>
      </c>
      <c r="B146" s="501" t="s">
        <v>675</v>
      </c>
      <c r="C146" s="500">
        <v>528250</v>
      </c>
      <c r="D146" s="500">
        <v>205250</v>
      </c>
      <c r="E146" s="500">
        <v>323000</v>
      </c>
    </row>
    <row r="147" spans="1:5" x14ac:dyDescent="0.2">
      <c r="A147" s="501" t="s">
        <v>676</v>
      </c>
      <c r="B147" s="501" t="s">
        <v>677</v>
      </c>
      <c r="C147" s="500">
        <v>-294188.38</v>
      </c>
      <c r="D147" s="500">
        <v>-588792.16</v>
      </c>
      <c r="E147" s="500">
        <v>294603.78000000003</v>
      </c>
    </row>
    <row r="148" spans="1:5" x14ac:dyDescent="0.2">
      <c r="A148" s="501" t="s">
        <v>678</v>
      </c>
      <c r="B148" s="501" t="s">
        <v>679</v>
      </c>
      <c r="C148" s="500">
        <v>842353.23</v>
      </c>
      <c r="D148" s="500">
        <v>979725.67</v>
      </c>
      <c r="E148" s="500">
        <v>-137372.44</v>
      </c>
    </row>
    <row r="149" spans="1:5" x14ac:dyDescent="0.2">
      <c r="A149" s="501" t="s">
        <v>680</v>
      </c>
      <c r="B149" s="501" t="s">
        <v>681</v>
      </c>
      <c r="C149" s="500">
        <v>0</v>
      </c>
      <c r="D149" s="500">
        <v>42197.13</v>
      </c>
      <c r="E149" s="500">
        <v>-42197.13</v>
      </c>
    </row>
    <row r="150" spans="1:5" x14ac:dyDescent="0.2">
      <c r="A150" s="501" t="s">
        <v>682</v>
      </c>
      <c r="B150" s="501" t="s">
        <v>683</v>
      </c>
      <c r="C150" s="500">
        <v>-741242.25</v>
      </c>
      <c r="D150" s="500">
        <v>-1888.52</v>
      </c>
      <c r="E150" s="500">
        <v>-739353.73</v>
      </c>
    </row>
    <row r="151" spans="1:5" x14ac:dyDescent="0.2">
      <c r="A151" s="501" t="s">
        <v>684</v>
      </c>
      <c r="B151" s="501" t="s">
        <v>685</v>
      </c>
      <c r="C151" s="500">
        <v>0</v>
      </c>
      <c r="D151" s="500">
        <v>-11565.06</v>
      </c>
      <c r="E151" s="500">
        <v>11565.06</v>
      </c>
    </row>
    <row r="152" spans="1:5" x14ac:dyDescent="0.2">
      <c r="A152" s="501" t="s">
        <v>686</v>
      </c>
      <c r="B152" s="501" t="s">
        <v>687</v>
      </c>
      <c r="C152" s="500">
        <v>-18850.14</v>
      </c>
      <c r="D152" s="500">
        <v>-236671.16</v>
      </c>
      <c r="E152" s="500">
        <v>217821.02</v>
      </c>
    </row>
    <row r="153" spans="1:5" x14ac:dyDescent="0.2">
      <c r="A153" s="501" t="s">
        <v>688</v>
      </c>
      <c r="B153" s="501" t="s">
        <v>689</v>
      </c>
      <c r="C153" s="500">
        <v>-44969.5</v>
      </c>
      <c r="D153" s="500">
        <v>-50205.64</v>
      </c>
      <c r="E153" s="500">
        <v>5236.1400000000003</v>
      </c>
    </row>
    <row r="154" spans="1:5" x14ac:dyDescent="0.2">
      <c r="A154" s="501" t="s">
        <v>690</v>
      </c>
      <c r="B154" s="501" t="s">
        <v>691</v>
      </c>
      <c r="C154" s="500">
        <v>41.45</v>
      </c>
      <c r="D154" s="500">
        <v>49500.3</v>
      </c>
      <c r="E154" s="500">
        <v>-49458.85</v>
      </c>
    </row>
    <row r="155" spans="1:5" x14ac:dyDescent="0.2">
      <c r="A155" s="501" t="s">
        <v>692</v>
      </c>
      <c r="B155" s="501" t="s">
        <v>693</v>
      </c>
      <c r="C155" s="500">
        <v>-14939.75</v>
      </c>
      <c r="D155" s="500">
        <v>22274.66</v>
      </c>
      <c r="E155" s="500">
        <v>-37214.410000000003</v>
      </c>
    </row>
    <row r="156" spans="1:5" x14ac:dyDescent="0.2">
      <c r="A156" s="501" t="s">
        <v>694</v>
      </c>
      <c r="B156" s="501" t="s">
        <v>695</v>
      </c>
      <c r="C156" s="500">
        <v>-1705.26</v>
      </c>
      <c r="D156" s="500">
        <v>-1057.1500000000001</v>
      </c>
      <c r="E156" s="500">
        <v>-648.11</v>
      </c>
    </row>
    <row r="157" spans="1:5" x14ac:dyDescent="0.2">
      <c r="A157" s="501" t="s">
        <v>696</v>
      </c>
      <c r="B157" s="501" t="s">
        <v>697</v>
      </c>
      <c r="C157" s="500">
        <v>-24803.119999999999</v>
      </c>
      <c r="D157" s="500">
        <v>-30161.09</v>
      </c>
      <c r="E157" s="500">
        <v>5357.97</v>
      </c>
    </row>
    <row r="158" spans="1:5" x14ac:dyDescent="0.2">
      <c r="A158" s="501" t="s">
        <v>698</v>
      </c>
      <c r="B158" s="501" t="s">
        <v>699</v>
      </c>
      <c r="C158" s="500">
        <v>-69408.479999999996</v>
      </c>
      <c r="D158" s="500">
        <v>-38928.480000000003</v>
      </c>
      <c r="E158" s="500">
        <v>-30480</v>
      </c>
    </row>
    <row r="159" spans="1:5" x14ac:dyDescent="0.2">
      <c r="A159" s="501" t="s">
        <v>700</v>
      </c>
      <c r="B159" s="501" t="s">
        <v>701</v>
      </c>
      <c r="C159" s="500">
        <v>-22000</v>
      </c>
      <c r="D159" s="500">
        <v>-84185.25</v>
      </c>
      <c r="E159" s="500">
        <v>62185.25</v>
      </c>
    </row>
    <row r="160" spans="1:5" x14ac:dyDescent="0.2">
      <c r="A160" s="501" t="s">
        <v>702</v>
      </c>
      <c r="B160" s="501" t="s">
        <v>703</v>
      </c>
      <c r="C160" s="500">
        <v>-2918996.08</v>
      </c>
      <c r="D160" s="500">
        <v>-3082196.63</v>
      </c>
      <c r="E160" s="500">
        <v>163200.54999999999</v>
      </c>
    </row>
    <row r="161" spans="1:5" x14ac:dyDescent="0.2">
      <c r="A161" s="501" t="s">
        <v>704</v>
      </c>
      <c r="B161" s="501" t="s">
        <v>705</v>
      </c>
      <c r="C161" s="500">
        <v>-250000</v>
      </c>
      <c r="D161" s="500">
        <v>-250000</v>
      </c>
      <c r="E161" s="500">
        <v>0</v>
      </c>
    </row>
    <row r="162" spans="1:5" x14ac:dyDescent="0.2">
      <c r="A162" s="501" t="s">
        <v>706</v>
      </c>
      <c r="B162" s="501" t="s">
        <v>707</v>
      </c>
      <c r="C162" s="500">
        <v>958046.76</v>
      </c>
      <c r="D162" s="500">
        <v>969733.73</v>
      </c>
      <c r="E162" s="500">
        <v>-11686.97</v>
      </c>
    </row>
  </sheetData>
  <pageMargins left="0.7" right="0.7" top="0.75" bottom="0.75" header="0.3" footer="0.3"/>
  <customProperties>
    <customPr name="_pios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H124"/>
  <sheetViews>
    <sheetView workbookViewId="0"/>
  </sheetViews>
  <sheetFormatPr defaultRowHeight="12.75" x14ac:dyDescent="0.2"/>
  <cols>
    <col min="1" max="1" width="54.7109375" style="504" bestFit="1" customWidth="1"/>
    <col min="2" max="2" width="6.28515625" style="504" bestFit="1" customWidth="1"/>
    <col min="3" max="4" width="10.5703125" style="504" bestFit="1" customWidth="1"/>
    <col min="5" max="5" width="10.7109375" style="504" bestFit="1" customWidth="1"/>
    <col min="6" max="6" width="9.28515625" style="504"/>
    <col min="7" max="7" width="41.5703125" style="504" bestFit="1" customWidth="1"/>
    <col min="8" max="8" width="16.28515625" style="504" bestFit="1" customWidth="1"/>
    <col min="9" max="256" width="9.28515625" style="504"/>
    <col min="257" max="257" width="54.7109375" style="504" bestFit="1" customWidth="1"/>
    <col min="258" max="258" width="6.28515625" style="504" bestFit="1" customWidth="1"/>
    <col min="259" max="260" width="10.5703125" style="504" bestFit="1" customWidth="1"/>
    <col min="261" max="261" width="10.7109375" style="504" bestFit="1" customWidth="1"/>
    <col min="262" max="512" width="9.28515625" style="504"/>
    <col min="513" max="513" width="54.7109375" style="504" bestFit="1" customWidth="1"/>
    <col min="514" max="514" width="6.28515625" style="504" bestFit="1" customWidth="1"/>
    <col min="515" max="516" width="10.5703125" style="504" bestFit="1" customWidth="1"/>
    <col min="517" max="517" width="10.7109375" style="504" bestFit="1" customWidth="1"/>
    <col min="518" max="768" width="9.28515625" style="504"/>
    <col min="769" max="769" width="54.7109375" style="504" bestFit="1" customWidth="1"/>
    <col min="770" max="770" width="6.28515625" style="504" bestFit="1" customWidth="1"/>
    <col min="771" max="772" width="10.5703125" style="504" bestFit="1" customWidth="1"/>
    <col min="773" max="773" width="10.7109375" style="504" bestFit="1" customWidth="1"/>
    <col min="774" max="1024" width="9.28515625" style="504"/>
    <col min="1025" max="1025" width="54.7109375" style="504" bestFit="1" customWidth="1"/>
    <col min="1026" max="1026" width="6.28515625" style="504" bestFit="1" customWidth="1"/>
    <col min="1027" max="1028" width="10.5703125" style="504" bestFit="1" customWidth="1"/>
    <col min="1029" max="1029" width="10.7109375" style="504" bestFit="1" customWidth="1"/>
    <col min="1030" max="1280" width="9.28515625" style="504"/>
    <col min="1281" max="1281" width="54.7109375" style="504" bestFit="1" customWidth="1"/>
    <col min="1282" max="1282" width="6.28515625" style="504" bestFit="1" customWidth="1"/>
    <col min="1283" max="1284" width="10.5703125" style="504" bestFit="1" customWidth="1"/>
    <col min="1285" max="1285" width="10.7109375" style="504" bestFit="1" customWidth="1"/>
    <col min="1286" max="1536" width="9.28515625" style="504"/>
    <col min="1537" max="1537" width="54.7109375" style="504" bestFit="1" customWidth="1"/>
    <col min="1538" max="1538" width="6.28515625" style="504" bestFit="1" customWidth="1"/>
    <col min="1539" max="1540" width="10.5703125" style="504" bestFit="1" customWidth="1"/>
    <col min="1541" max="1541" width="10.7109375" style="504" bestFit="1" customWidth="1"/>
    <col min="1542" max="1792" width="9.28515625" style="504"/>
    <col min="1793" max="1793" width="54.7109375" style="504" bestFit="1" customWidth="1"/>
    <col min="1794" max="1794" width="6.28515625" style="504" bestFit="1" customWidth="1"/>
    <col min="1795" max="1796" width="10.5703125" style="504" bestFit="1" customWidth="1"/>
    <col min="1797" max="1797" width="10.7109375" style="504" bestFit="1" customWidth="1"/>
    <col min="1798" max="2048" width="9.28515625" style="504"/>
    <col min="2049" max="2049" width="54.7109375" style="504" bestFit="1" customWidth="1"/>
    <col min="2050" max="2050" width="6.28515625" style="504" bestFit="1" customWidth="1"/>
    <col min="2051" max="2052" width="10.5703125" style="504" bestFit="1" customWidth="1"/>
    <col min="2053" max="2053" width="10.7109375" style="504" bestFit="1" customWidth="1"/>
    <col min="2054" max="2304" width="9.28515625" style="504"/>
    <col min="2305" max="2305" width="54.7109375" style="504" bestFit="1" customWidth="1"/>
    <col min="2306" max="2306" width="6.28515625" style="504" bestFit="1" customWidth="1"/>
    <col min="2307" max="2308" width="10.5703125" style="504" bestFit="1" customWidth="1"/>
    <col min="2309" max="2309" width="10.7109375" style="504" bestFit="1" customWidth="1"/>
    <col min="2310" max="2560" width="9.28515625" style="504"/>
    <col min="2561" max="2561" width="54.7109375" style="504" bestFit="1" customWidth="1"/>
    <col min="2562" max="2562" width="6.28515625" style="504" bestFit="1" customWidth="1"/>
    <col min="2563" max="2564" width="10.5703125" style="504" bestFit="1" customWidth="1"/>
    <col min="2565" max="2565" width="10.7109375" style="504" bestFit="1" customWidth="1"/>
    <col min="2566" max="2816" width="9.28515625" style="504"/>
    <col min="2817" max="2817" width="54.7109375" style="504" bestFit="1" customWidth="1"/>
    <col min="2818" max="2818" width="6.28515625" style="504" bestFit="1" customWidth="1"/>
    <col min="2819" max="2820" width="10.5703125" style="504" bestFit="1" customWidth="1"/>
    <col min="2821" max="2821" width="10.7109375" style="504" bestFit="1" customWidth="1"/>
    <col min="2822" max="3072" width="9.28515625" style="504"/>
    <col min="3073" max="3073" width="54.7109375" style="504" bestFit="1" customWidth="1"/>
    <col min="3074" max="3074" width="6.28515625" style="504" bestFit="1" customWidth="1"/>
    <col min="3075" max="3076" width="10.5703125" style="504" bestFit="1" customWidth="1"/>
    <col min="3077" max="3077" width="10.7109375" style="504" bestFit="1" customWidth="1"/>
    <col min="3078" max="3328" width="9.28515625" style="504"/>
    <col min="3329" max="3329" width="54.7109375" style="504" bestFit="1" customWidth="1"/>
    <col min="3330" max="3330" width="6.28515625" style="504" bestFit="1" customWidth="1"/>
    <col min="3331" max="3332" width="10.5703125" style="504" bestFit="1" customWidth="1"/>
    <col min="3333" max="3333" width="10.7109375" style="504" bestFit="1" customWidth="1"/>
    <col min="3334" max="3584" width="9.28515625" style="504"/>
    <col min="3585" max="3585" width="54.7109375" style="504" bestFit="1" customWidth="1"/>
    <col min="3586" max="3586" width="6.28515625" style="504" bestFit="1" customWidth="1"/>
    <col min="3587" max="3588" width="10.5703125" style="504" bestFit="1" customWidth="1"/>
    <col min="3589" max="3589" width="10.7109375" style="504" bestFit="1" customWidth="1"/>
    <col min="3590" max="3840" width="9.28515625" style="504"/>
    <col min="3841" max="3841" width="54.7109375" style="504" bestFit="1" customWidth="1"/>
    <col min="3842" max="3842" width="6.28515625" style="504" bestFit="1" customWidth="1"/>
    <col min="3843" max="3844" width="10.5703125" style="504" bestFit="1" customWidth="1"/>
    <col min="3845" max="3845" width="10.7109375" style="504" bestFit="1" customWidth="1"/>
    <col min="3846" max="4096" width="9.28515625" style="504"/>
    <col min="4097" max="4097" width="54.7109375" style="504" bestFit="1" customWidth="1"/>
    <col min="4098" max="4098" width="6.28515625" style="504" bestFit="1" customWidth="1"/>
    <col min="4099" max="4100" width="10.5703125" style="504" bestFit="1" customWidth="1"/>
    <col min="4101" max="4101" width="10.7109375" style="504" bestFit="1" customWidth="1"/>
    <col min="4102" max="4352" width="9.28515625" style="504"/>
    <col min="4353" max="4353" width="54.7109375" style="504" bestFit="1" customWidth="1"/>
    <col min="4354" max="4354" width="6.28515625" style="504" bestFit="1" customWidth="1"/>
    <col min="4355" max="4356" width="10.5703125" style="504" bestFit="1" customWidth="1"/>
    <col min="4357" max="4357" width="10.7109375" style="504" bestFit="1" customWidth="1"/>
    <col min="4358" max="4608" width="9.28515625" style="504"/>
    <col min="4609" max="4609" width="54.7109375" style="504" bestFit="1" customWidth="1"/>
    <col min="4610" max="4610" width="6.28515625" style="504" bestFit="1" customWidth="1"/>
    <col min="4611" max="4612" width="10.5703125" style="504" bestFit="1" customWidth="1"/>
    <col min="4613" max="4613" width="10.7109375" style="504" bestFit="1" customWidth="1"/>
    <col min="4614" max="4864" width="9.28515625" style="504"/>
    <col min="4865" max="4865" width="54.7109375" style="504" bestFit="1" customWidth="1"/>
    <col min="4866" max="4866" width="6.28515625" style="504" bestFit="1" customWidth="1"/>
    <col min="4867" max="4868" width="10.5703125" style="504" bestFit="1" customWidth="1"/>
    <col min="4869" max="4869" width="10.7109375" style="504" bestFit="1" customWidth="1"/>
    <col min="4870" max="5120" width="9.28515625" style="504"/>
    <col min="5121" max="5121" width="54.7109375" style="504" bestFit="1" customWidth="1"/>
    <col min="5122" max="5122" width="6.28515625" style="504" bestFit="1" customWidth="1"/>
    <col min="5123" max="5124" width="10.5703125" style="504" bestFit="1" customWidth="1"/>
    <col min="5125" max="5125" width="10.7109375" style="504" bestFit="1" customWidth="1"/>
    <col min="5126" max="5376" width="9.28515625" style="504"/>
    <col min="5377" max="5377" width="54.7109375" style="504" bestFit="1" customWidth="1"/>
    <col min="5378" max="5378" width="6.28515625" style="504" bestFit="1" customWidth="1"/>
    <col min="5379" max="5380" width="10.5703125" style="504" bestFit="1" customWidth="1"/>
    <col min="5381" max="5381" width="10.7109375" style="504" bestFit="1" customWidth="1"/>
    <col min="5382" max="5632" width="9.28515625" style="504"/>
    <col min="5633" max="5633" width="54.7109375" style="504" bestFit="1" customWidth="1"/>
    <col min="5634" max="5634" width="6.28515625" style="504" bestFit="1" customWidth="1"/>
    <col min="5635" max="5636" width="10.5703125" style="504" bestFit="1" customWidth="1"/>
    <col min="5637" max="5637" width="10.7109375" style="504" bestFit="1" customWidth="1"/>
    <col min="5638" max="5888" width="9.28515625" style="504"/>
    <col min="5889" max="5889" width="54.7109375" style="504" bestFit="1" customWidth="1"/>
    <col min="5890" max="5890" width="6.28515625" style="504" bestFit="1" customWidth="1"/>
    <col min="5891" max="5892" width="10.5703125" style="504" bestFit="1" customWidth="1"/>
    <col min="5893" max="5893" width="10.7109375" style="504" bestFit="1" customWidth="1"/>
    <col min="5894" max="6144" width="9.28515625" style="504"/>
    <col min="6145" max="6145" width="54.7109375" style="504" bestFit="1" customWidth="1"/>
    <col min="6146" max="6146" width="6.28515625" style="504" bestFit="1" customWidth="1"/>
    <col min="6147" max="6148" width="10.5703125" style="504" bestFit="1" customWidth="1"/>
    <col min="6149" max="6149" width="10.7109375" style="504" bestFit="1" customWidth="1"/>
    <col min="6150" max="6400" width="9.28515625" style="504"/>
    <col min="6401" max="6401" width="54.7109375" style="504" bestFit="1" customWidth="1"/>
    <col min="6402" max="6402" width="6.28515625" style="504" bestFit="1" customWidth="1"/>
    <col min="6403" max="6404" width="10.5703125" style="504" bestFit="1" customWidth="1"/>
    <col min="6405" max="6405" width="10.7109375" style="504" bestFit="1" customWidth="1"/>
    <col min="6406" max="6656" width="9.28515625" style="504"/>
    <col min="6657" max="6657" width="54.7109375" style="504" bestFit="1" customWidth="1"/>
    <col min="6658" max="6658" width="6.28515625" style="504" bestFit="1" customWidth="1"/>
    <col min="6659" max="6660" width="10.5703125" style="504" bestFit="1" customWidth="1"/>
    <col min="6661" max="6661" width="10.7109375" style="504" bestFit="1" customWidth="1"/>
    <col min="6662" max="6912" width="9.28515625" style="504"/>
    <col min="6913" max="6913" width="54.7109375" style="504" bestFit="1" customWidth="1"/>
    <col min="6914" max="6914" width="6.28515625" style="504" bestFit="1" customWidth="1"/>
    <col min="6915" max="6916" width="10.5703125" style="504" bestFit="1" customWidth="1"/>
    <col min="6917" max="6917" width="10.7109375" style="504" bestFit="1" customWidth="1"/>
    <col min="6918" max="7168" width="9.28515625" style="504"/>
    <col min="7169" max="7169" width="54.7109375" style="504" bestFit="1" customWidth="1"/>
    <col min="7170" max="7170" width="6.28515625" style="504" bestFit="1" customWidth="1"/>
    <col min="7171" max="7172" width="10.5703125" style="504" bestFit="1" customWidth="1"/>
    <col min="7173" max="7173" width="10.7109375" style="504" bestFit="1" customWidth="1"/>
    <col min="7174" max="7424" width="9.28515625" style="504"/>
    <col min="7425" max="7425" width="54.7109375" style="504" bestFit="1" customWidth="1"/>
    <col min="7426" max="7426" width="6.28515625" style="504" bestFit="1" customWidth="1"/>
    <col min="7427" max="7428" width="10.5703125" style="504" bestFit="1" customWidth="1"/>
    <col min="7429" max="7429" width="10.7109375" style="504" bestFit="1" customWidth="1"/>
    <col min="7430" max="7680" width="9.28515625" style="504"/>
    <col min="7681" max="7681" width="54.7109375" style="504" bestFit="1" customWidth="1"/>
    <col min="7682" max="7682" width="6.28515625" style="504" bestFit="1" customWidth="1"/>
    <col min="7683" max="7684" width="10.5703125" style="504" bestFit="1" customWidth="1"/>
    <col min="7685" max="7685" width="10.7109375" style="504" bestFit="1" customWidth="1"/>
    <col min="7686" max="7936" width="9.28515625" style="504"/>
    <col min="7937" max="7937" width="54.7109375" style="504" bestFit="1" customWidth="1"/>
    <col min="7938" max="7938" width="6.28515625" style="504" bestFit="1" customWidth="1"/>
    <col min="7939" max="7940" width="10.5703125" style="504" bestFit="1" customWidth="1"/>
    <col min="7941" max="7941" width="10.7109375" style="504" bestFit="1" customWidth="1"/>
    <col min="7942" max="8192" width="9.28515625" style="504"/>
    <col min="8193" max="8193" width="54.7109375" style="504" bestFit="1" customWidth="1"/>
    <col min="8194" max="8194" width="6.28515625" style="504" bestFit="1" customWidth="1"/>
    <col min="8195" max="8196" width="10.5703125" style="504" bestFit="1" customWidth="1"/>
    <col min="8197" max="8197" width="10.7109375" style="504" bestFit="1" customWidth="1"/>
    <col min="8198" max="8448" width="9.28515625" style="504"/>
    <col min="8449" max="8449" width="54.7109375" style="504" bestFit="1" customWidth="1"/>
    <col min="8450" max="8450" width="6.28515625" style="504" bestFit="1" customWidth="1"/>
    <col min="8451" max="8452" width="10.5703125" style="504" bestFit="1" customWidth="1"/>
    <col min="8453" max="8453" width="10.7109375" style="504" bestFit="1" customWidth="1"/>
    <col min="8454" max="8704" width="9.28515625" style="504"/>
    <col min="8705" max="8705" width="54.7109375" style="504" bestFit="1" customWidth="1"/>
    <col min="8706" max="8706" width="6.28515625" style="504" bestFit="1" customWidth="1"/>
    <col min="8707" max="8708" width="10.5703125" style="504" bestFit="1" customWidth="1"/>
    <col min="8709" max="8709" width="10.7109375" style="504" bestFit="1" customWidth="1"/>
    <col min="8710" max="8960" width="9.28515625" style="504"/>
    <col min="8961" max="8961" width="54.7109375" style="504" bestFit="1" customWidth="1"/>
    <col min="8962" max="8962" width="6.28515625" style="504" bestFit="1" customWidth="1"/>
    <col min="8963" max="8964" width="10.5703125" style="504" bestFit="1" customWidth="1"/>
    <col min="8965" max="8965" width="10.7109375" style="504" bestFit="1" customWidth="1"/>
    <col min="8966" max="9216" width="9.28515625" style="504"/>
    <col min="9217" max="9217" width="54.7109375" style="504" bestFit="1" customWidth="1"/>
    <col min="9218" max="9218" width="6.28515625" style="504" bestFit="1" customWidth="1"/>
    <col min="9219" max="9220" width="10.5703125" style="504" bestFit="1" customWidth="1"/>
    <col min="9221" max="9221" width="10.7109375" style="504" bestFit="1" customWidth="1"/>
    <col min="9222" max="9472" width="9.28515625" style="504"/>
    <col min="9473" max="9473" width="54.7109375" style="504" bestFit="1" customWidth="1"/>
    <col min="9474" max="9474" width="6.28515625" style="504" bestFit="1" customWidth="1"/>
    <col min="9475" max="9476" width="10.5703125" style="504" bestFit="1" customWidth="1"/>
    <col min="9477" max="9477" width="10.7109375" style="504" bestFit="1" customWidth="1"/>
    <col min="9478" max="9728" width="9.28515625" style="504"/>
    <col min="9729" max="9729" width="54.7109375" style="504" bestFit="1" customWidth="1"/>
    <col min="9730" max="9730" width="6.28515625" style="504" bestFit="1" customWidth="1"/>
    <col min="9731" max="9732" width="10.5703125" style="504" bestFit="1" customWidth="1"/>
    <col min="9733" max="9733" width="10.7109375" style="504" bestFit="1" customWidth="1"/>
    <col min="9734" max="9984" width="9.28515625" style="504"/>
    <col min="9985" max="9985" width="54.7109375" style="504" bestFit="1" customWidth="1"/>
    <col min="9986" max="9986" width="6.28515625" style="504" bestFit="1" customWidth="1"/>
    <col min="9987" max="9988" width="10.5703125" style="504" bestFit="1" customWidth="1"/>
    <col min="9989" max="9989" width="10.7109375" style="504" bestFit="1" customWidth="1"/>
    <col min="9990" max="10240" width="9.28515625" style="504"/>
    <col min="10241" max="10241" width="54.7109375" style="504" bestFit="1" customWidth="1"/>
    <col min="10242" max="10242" width="6.28515625" style="504" bestFit="1" customWidth="1"/>
    <col min="10243" max="10244" width="10.5703125" style="504" bestFit="1" customWidth="1"/>
    <col min="10245" max="10245" width="10.7109375" style="504" bestFit="1" customWidth="1"/>
    <col min="10246" max="10496" width="9.28515625" style="504"/>
    <col min="10497" max="10497" width="54.7109375" style="504" bestFit="1" customWidth="1"/>
    <col min="10498" max="10498" width="6.28515625" style="504" bestFit="1" customWidth="1"/>
    <col min="10499" max="10500" width="10.5703125" style="504" bestFit="1" customWidth="1"/>
    <col min="10501" max="10501" width="10.7109375" style="504" bestFit="1" customWidth="1"/>
    <col min="10502" max="10752" width="9.28515625" style="504"/>
    <col min="10753" max="10753" width="54.7109375" style="504" bestFit="1" customWidth="1"/>
    <col min="10754" max="10754" width="6.28515625" style="504" bestFit="1" customWidth="1"/>
    <col min="10755" max="10756" width="10.5703125" style="504" bestFit="1" customWidth="1"/>
    <col min="10757" max="10757" width="10.7109375" style="504" bestFit="1" customWidth="1"/>
    <col min="10758" max="11008" width="9.28515625" style="504"/>
    <col min="11009" max="11009" width="54.7109375" style="504" bestFit="1" customWidth="1"/>
    <col min="11010" max="11010" width="6.28515625" style="504" bestFit="1" customWidth="1"/>
    <col min="11011" max="11012" width="10.5703125" style="504" bestFit="1" customWidth="1"/>
    <col min="11013" max="11013" width="10.7109375" style="504" bestFit="1" customWidth="1"/>
    <col min="11014" max="11264" width="9.28515625" style="504"/>
    <col min="11265" max="11265" width="54.7109375" style="504" bestFit="1" customWidth="1"/>
    <col min="11266" max="11266" width="6.28515625" style="504" bestFit="1" customWidth="1"/>
    <col min="11267" max="11268" width="10.5703125" style="504" bestFit="1" customWidth="1"/>
    <col min="11269" max="11269" width="10.7109375" style="504" bestFit="1" customWidth="1"/>
    <col min="11270" max="11520" width="9.28515625" style="504"/>
    <col min="11521" max="11521" width="54.7109375" style="504" bestFit="1" customWidth="1"/>
    <col min="11522" max="11522" width="6.28515625" style="504" bestFit="1" customWidth="1"/>
    <col min="11523" max="11524" width="10.5703125" style="504" bestFit="1" customWidth="1"/>
    <col min="11525" max="11525" width="10.7109375" style="504" bestFit="1" customWidth="1"/>
    <col min="11526" max="11776" width="9.28515625" style="504"/>
    <col min="11777" max="11777" width="54.7109375" style="504" bestFit="1" customWidth="1"/>
    <col min="11778" max="11778" width="6.28515625" style="504" bestFit="1" customWidth="1"/>
    <col min="11779" max="11780" width="10.5703125" style="504" bestFit="1" customWidth="1"/>
    <col min="11781" max="11781" width="10.7109375" style="504" bestFit="1" customWidth="1"/>
    <col min="11782" max="12032" width="9.28515625" style="504"/>
    <col min="12033" max="12033" width="54.7109375" style="504" bestFit="1" customWidth="1"/>
    <col min="12034" max="12034" width="6.28515625" style="504" bestFit="1" customWidth="1"/>
    <col min="12035" max="12036" width="10.5703125" style="504" bestFit="1" customWidth="1"/>
    <col min="12037" max="12037" width="10.7109375" style="504" bestFit="1" customWidth="1"/>
    <col min="12038" max="12288" width="9.28515625" style="504"/>
    <col min="12289" max="12289" width="54.7109375" style="504" bestFit="1" customWidth="1"/>
    <col min="12290" max="12290" width="6.28515625" style="504" bestFit="1" customWidth="1"/>
    <col min="12291" max="12292" width="10.5703125" style="504" bestFit="1" customWidth="1"/>
    <col min="12293" max="12293" width="10.7109375" style="504" bestFit="1" customWidth="1"/>
    <col min="12294" max="12544" width="9.28515625" style="504"/>
    <col min="12545" max="12545" width="54.7109375" style="504" bestFit="1" customWidth="1"/>
    <col min="12546" max="12546" width="6.28515625" style="504" bestFit="1" customWidth="1"/>
    <col min="12547" max="12548" width="10.5703125" style="504" bestFit="1" customWidth="1"/>
    <col min="12549" max="12549" width="10.7109375" style="504" bestFit="1" customWidth="1"/>
    <col min="12550" max="12800" width="9.28515625" style="504"/>
    <col min="12801" max="12801" width="54.7109375" style="504" bestFit="1" customWidth="1"/>
    <col min="12802" max="12802" width="6.28515625" style="504" bestFit="1" customWidth="1"/>
    <col min="12803" max="12804" width="10.5703125" style="504" bestFit="1" customWidth="1"/>
    <col min="12805" max="12805" width="10.7109375" style="504" bestFit="1" customWidth="1"/>
    <col min="12806" max="13056" width="9.28515625" style="504"/>
    <col min="13057" max="13057" width="54.7109375" style="504" bestFit="1" customWidth="1"/>
    <col min="13058" max="13058" width="6.28515625" style="504" bestFit="1" customWidth="1"/>
    <col min="13059" max="13060" width="10.5703125" style="504" bestFit="1" customWidth="1"/>
    <col min="13061" max="13061" width="10.7109375" style="504" bestFit="1" customWidth="1"/>
    <col min="13062" max="13312" width="9.28515625" style="504"/>
    <col min="13313" max="13313" width="54.7109375" style="504" bestFit="1" customWidth="1"/>
    <col min="13314" max="13314" width="6.28515625" style="504" bestFit="1" customWidth="1"/>
    <col min="13315" max="13316" width="10.5703125" style="504" bestFit="1" customWidth="1"/>
    <col min="13317" max="13317" width="10.7109375" style="504" bestFit="1" customWidth="1"/>
    <col min="13318" max="13568" width="9.28515625" style="504"/>
    <col min="13569" max="13569" width="54.7109375" style="504" bestFit="1" customWidth="1"/>
    <col min="13570" max="13570" width="6.28515625" style="504" bestFit="1" customWidth="1"/>
    <col min="13571" max="13572" width="10.5703125" style="504" bestFit="1" customWidth="1"/>
    <col min="13573" max="13573" width="10.7109375" style="504" bestFit="1" customWidth="1"/>
    <col min="13574" max="13824" width="9.28515625" style="504"/>
    <col min="13825" max="13825" width="54.7109375" style="504" bestFit="1" customWidth="1"/>
    <col min="13826" max="13826" width="6.28515625" style="504" bestFit="1" customWidth="1"/>
    <col min="13827" max="13828" width="10.5703125" style="504" bestFit="1" customWidth="1"/>
    <col min="13829" max="13829" width="10.7109375" style="504" bestFit="1" customWidth="1"/>
    <col min="13830" max="14080" width="9.28515625" style="504"/>
    <col min="14081" max="14081" width="54.7109375" style="504" bestFit="1" customWidth="1"/>
    <col min="14082" max="14082" width="6.28515625" style="504" bestFit="1" customWidth="1"/>
    <col min="14083" max="14084" width="10.5703125" style="504" bestFit="1" customWidth="1"/>
    <col min="14085" max="14085" width="10.7109375" style="504" bestFit="1" customWidth="1"/>
    <col min="14086" max="14336" width="9.28515625" style="504"/>
    <col min="14337" max="14337" width="54.7109375" style="504" bestFit="1" customWidth="1"/>
    <col min="14338" max="14338" width="6.28515625" style="504" bestFit="1" customWidth="1"/>
    <col min="14339" max="14340" width="10.5703125" style="504" bestFit="1" customWidth="1"/>
    <col min="14341" max="14341" width="10.7109375" style="504" bestFit="1" customWidth="1"/>
    <col min="14342" max="14592" width="9.28515625" style="504"/>
    <col min="14593" max="14593" width="54.7109375" style="504" bestFit="1" customWidth="1"/>
    <col min="14594" max="14594" width="6.28515625" style="504" bestFit="1" customWidth="1"/>
    <col min="14595" max="14596" width="10.5703125" style="504" bestFit="1" customWidth="1"/>
    <col min="14597" max="14597" width="10.7109375" style="504" bestFit="1" customWidth="1"/>
    <col min="14598" max="14848" width="9.28515625" style="504"/>
    <col min="14849" max="14849" width="54.7109375" style="504" bestFit="1" customWidth="1"/>
    <col min="14850" max="14850" width="6.28515625" style="504" bestFit="1" customWidth="1"/>
    <col min="14851" max="14852" width="10.5703125" style="504" bestFit="1" customWidth="1"/>
    <col min="14853" max="14853" width="10.7109375" style="504" bestFit="1" customWidth="1"/>
    <col min="14854" max="15104" width="9.28515625" style="504"/>
    <col min="15105" max="15105" width="54.7109375" style="504" bestFit="1" customWidth="1"/>
    <col min="15106" max="15106" width="6.28515625" style="504" bestFit="1" customWidth="1"/>
    <col min="15107" max="15108" width="10.5703125" style="504" bestFit="1" customWidth="1"/>
    <col min="15109" max="15109" width="10.7109375" style="504" bestFit="1" customWidth="1"/>
    <col min="15110" max="15360" width="9.28515625" style="504"/>
    <col min="15361" max="15361" width="54.7109375" style="504" bestFit="1" customWidth="1"/>
    <col min="15362" max="15362" width="6.28515625" style="504" bestFit="1" customWidth="1"/>
    <col min="15363" max="15364" width="10.5703125" style="504" bestFit="1" customWidth="1"/>
    <col min="15365" max="15365" width="10.7109375" style="504" bestFit="1" customWidth="1"/>
    <col min="15366" max="15616" width="9.28515625" style="504"/>
    <col min="15617" max="15617" width="54.7109375" style="504" bestFit="1" customWidth="1"/>
    <col min="15618" max="15618" width="6.28515625" style="504" bestFit="1" customWidth="1"/>
    <col min="15619" max="15620" width="10.5703125" style="504" bestFit="1" customWidth="1"/>
    <col min="15621" max="15621" width="10.7109375" style="504" bestFit="1" customWidth="1"/>
    <col min="15622" max="15872" width="9.28515625" style="504"/>
    <col min="15873" max="15873" width="54.7109375" style="504" bestFit="1" customWidth="1"/>
    <col min="15874" max="15874" width="6.28515625" style="504" bestFit="1" customWidth="1"/>
    <col min="15875" max="15876" width="10.5703125" style="504" bestFit="1" customWidth="1"/>
    <col min="15877" max="15877" width="10.7109375" style="504" bestFit="1" customWidth="1"/>
    <col min="15878" max="16128" width="9.28515625" style="504"/>
    <col min="16129" max="16129" width="54.7109375" style="504" bestFit="1" customWidth="1"/>
    <col min="16130" max="16130" width="6.28515625" style="504" bestFit="1" customWidth="1"/>
    <col min="16131" max="16132" width="10.5703125" style="504" bestFit="1" customWidth="1"/>
    <col min="16133" max="16133" width="10.7109375" style="504" bestFit="1" customWidth="1"/>
    <col min="16134" max="16384" width="9.28515625" style="504"/>
  </cols>
  <sheetData>
    <row r="1" spans="1:8" x14ac:dyDescent="0.2">
      <c r="A1" s="504" t="s">
        <v>423</v>
      </c>
      <c r="B1" s="504" t="s">
        <v>171</v>
      </c>
      <c r="C1" s="503">
        <v>39721</v>
      </c>
      <c r="D1" s="503">
        <v>39903</v>
      </c>
      <c r="E1" s="502" t="s">
        <v>424</v>
      </c>
    </row>
    <row r="2" spans="1:8" x14ac:dyDescent="0.2">
      <c r="A2" s="501" t="s">
        <v>425</v>
      </c>
      <c r="B2" s="501" t="s">
        <v>426</v>
      </c>
      <c r="C2" s="500">
        <v>-782870.61</v>
      </c>
      <c r="D2" s="500">
        <v>-3273086.67</v>
      </c>
      <c r="E2" s="500">
        <v>2490216.06</v>
      </c>
      <c r="G2" s="184" t="s">
        <v>414</v>
      </c>
      <c r="H2">
        <v>0.68715000000000004</v>
      </c>
    </row>
    <row r="3" spans="1:8" x14ac:dyDescent="0.2">
      <c r="A3" s="501" t="s">
        <v>429</v>
      </c>
      <c r="B3" s="501" t="s">
        <v>299</v>
      </c>
      <c r="C3" s="500">
        <v>-782870.61</v>
      </c>
      <c r="D3" s="500">
        <v>-3273086.67</v>
      </c>
      <c r="E3" s="500">
        <v>2490216.06</v>
      </c>
      <c r="G3" s="184" t="s">
        <v>415</v>
      </c>
      <c r="H3">
        <v>0.80147000000000002</v>
      </c>
    </row>
    <row r="4" spans="1:8" x14ac:dyDescent="0.2">
      <c r="A4" s="501" t="s">
        <v>430</v>
      </c>
      <c r="B4" s="501" t="s">
        <v>299</v>
      </c>
      <c r="C4" s="500">
        <v>-782870.61</v>
      </c>
      <c r="D4" s="500">
        <v>-3273086.67</v>
      </c>
      <c r="E4" s="500">
        <v>2490216.06</v>
      </c>
      <c r="G4"/>
      <c r="H4"/>
    </row>
    <row r="5" spans="1:8" x14ac:dyDescent="0.2">
      <c r="A5" s="499" t="s">
        <v>434</v>
      </c>
      <c r="B5" s="499" t="s">
        <v>299</v>
      </c>
      <c r="C5" s="498">
        <v>-782870.61</v>
      </c>
      <c r="D5" s="500">
        <v>-3273086.67</v>
      </c>
      <c r="E5" s="500">
        <v>2490216.06</v>
      </c>
      <c r="G5" s="184" t="s">
        <v>759</v>
      </c>
      <c r="H5" s="505">
        <f>SUM(D98:D107)</f>
        <v>6938514.6799999978</v>
      </c>
    </row>
    <row r="6" spans="1:8" x14ac:dyDescent="0.2">
      <c r="A6" s="501" t="s">
        <v>435</v>
      </c>
      <c r="B6" s="501" t="s">
        <v>299</v>
      </c>
      <c r="C6" s="500">
        <v>0</v>
      </c>
      <c r="D6" s="500">
        <v>0</v>
      </c>
      <c r="E6" s="500">
        <v>0</v>
      </c>
      <c r="G6" s="184" t="s">
        <v>760</v>
      </c>
      <c r="H6" s="505">
        <f>SUM(C98:C107)</f>
        <v>4654935.7300000004</v>
      </c>
    </row>
    <row r="7" spans="1:8" x14ac:dyDescent="0.2">
      <c r="A7" s="501" t="s">
        <v>436</v>
      </c>
      <c r="B7" s="501" t="s">
        <v>437</v>
      </c>
      <c r="C7" s="500">
        <v>243849.05</v>
      </c>
      <c r="D7" s="500">
        <v>947154.71</v>
      </c>
      <c r="E7" s="500">
        <v>-703305.66</v>
      </c>
      <c r="G7"/>
      <c r="H7"/>
    </row>
    <row r="8" spans="1:8" x14ac:dyDescent="0.2">
      <c r="A8" s="501" t="s">
        <v>438</v>
      </c>
      <c r="B8" s="501" t="s">
        <v>439</v>
      </c>
      <c r="C8" s="500">
        <v>0</v>
      </c>
      <c r="D8" s="500">
        <v>4204.9799999999996</v>
      </c>
      <c r="E8" s="500">
        <v>-4204.9799999999996</v>
      </c>
      <c r="G8" s="184" t="s">
        <v>761</v>
      </c>
      <c r="H8" s="207">
        <f>H5/H2</f>
        <v>10097525.547551477</v>
      </c>
    </row>
    <row r="9" spans="1:8" x14ac:dyDescent="0.2">
      <c r="A9" s="501" t="s">
        <v>444</v>
      </c>
      <c r="B9" s="501" t="s">
        <v>299</v>
      </c>
      <c r="C9" s="500">
        <v>243849.05</v>
      </c>
      <c r="D9" s="500">
        <v>951359.69</v>
      </c>
      <c r="E9" s="500">
        <v>-707510.64</v>
      </c>
      <c r="G9" s="184" t="s">
        <v>762</v>
      </c>
      <c r="H9" s="207">
        <f>H6/H3</f>
        <v>5807997.4671541052</v>
      </c>
    </row>
    <row r="10" spans="1:8" x14ac:dyDescent="0.2">
      <c r="A10" s="501" t="s">
        <v>445</v>
      </c>
      <c r="B10" s="501" t="s">
        <v>299</v>
      </c>
      <c r="C10" s="500">
        <v>243849.05</v>
      </c>
      <c r="D10" s="500">
        <v>951359.69</v>
      </c>
      <c r="E10" s="500">
        <v>-707510.64</v>
      </c>
    </row>
    <row r="11" spans="1:8" x14ac:dyDescent="0.2">
      <c r="A11" s="501" t="s">
        <v>446</v>
      </c>
      <c r="B11" s="501" t="s">
        <v>447</v>
      </c>
      <c r="C11" s="500">
        <v>304413.42</v>
      </c>
      <c r="D11" s="500">
        <v>1119645.05</v>
      </c>
      <c r="E11" s="500">
        <v>-815231.63</v>
      </c>
    </row>
    <row r="12" spans="1:8" x14ac:dyDescent="0.2">
      <c r="A12" s="501" t="s">
        <v>448</v>
      </c>
      <c r="B12" s="501" t="s">
        <v>449</v>
      </c>
      <c r="C12" s="500">
        <v>-243849.05</v>
      </c>
      <c r="D12" s="500">
        <v>-947154.71</v>
      </c>
      <c r="E12" s="500">
        <v>703305.66</v>
      </c>
    </row>
    <row r="13" spans="1:8" x14ac:dyDescent="0.2">
      <c r="A13" s="501" t="s">
        <v>450</v>
      </c>
      <c r="B13" s="501" t="s">
        <v>299</v>
      </c>
      <c r="C13" s="500">
        <v>60564.37</v>
      </c>
      <c r="D13" s="500">
        <v>172490.34</v>
      </c>
      <c r="E13" s="500">
        <v>-111925.97</v>
      </c>
      <c r="G13" s="184" t="s">
        <v>422</v>
      </c>
      <c r="H13">
        <v>0.83281000000000005</v>
      </c>
    </row>
    <row r="14" spans="1:8" x14ac:dyDescent="0.2">
      <c r="A14" s="501" t="s">
        <v>451</v>
      </c>
      <c r="B14" s="501" t="s">
        <v>452</v>
      </c>
      <c r="C14" s="500">
        <v>34879.5</v>
      </c>
      <c r="D14" s="500">
        <v>52715.360000000001</v>
      </c>
      <c r="E14" s="500">
        <v>-17835.86</v>
      </c>
      <c r="G14"/>
      <c r="H14"/>
    </row>
    <row r="15" spans="1:8" x14ac:dyDescent="0.2">
      <c r="A15" s="501" t="s">
        <v>461</v>
      </c>
      <c r="B15" s="501" t="s">
        <v>299</v>
      </c>
      <c r="C15" s="500">
        <v>34879.5</v>
      </c>
      <c r="D15" s="500">
        <v>52715.360000000001</v>
      </c>
      <c r="E15" s="500">
        <v>-17835.86</v>
      </c>
      <c r="G15" s="184" t="s">
        <v>765</v>
      </c>
      <c r="H15" s="505">
        <f>C5</f>
        <v>-782870.61</v>
      </c>
    </row>
    <row r="16" spans="1:8" x14ac:dyDescent="0.2">
      <c r="A16" s="501" t="s">
        <v>462</v>
      </c>
      <c r="B16" s="501" t="s">
        <v>299</v>
      </c>
      <c r="C16" s="500">
        <v>339292.92</v>
      </c>
      <c r="D16" s="500">
        <v>1176565.3899999999</v>
      </c>
      <c r="E16" s="500">
        <v>-837272.47</v>
      </c>
      <c r="G16"/>
      <c r="H16"/>
    </row>
    <row r="17" spans="1:8" x14ac:dyDescent="0.2">
      <c r="A17" s="501" t="s">
        <v>463</v>
      </c>
      <c r="B17" s="501" t="s">
        <v>464</v>
      </c>
      <c r="C17" s="500">
        <v>138704.16</v>
      </c>
      <c r="D17" s="500">
        <v>334820.45</v>
      </c>
      <c r="E17" s="500">
        <v>-196116.29</v>
      </c>
      <c r="G17" s="184" t="s">
        <v>766</v>
      </c>
      <c r="H17" s="207">
        <f>H15/H13</f>
        <v>-940035.07402648858</v>
      </c>
    </row>
    <row r="18" spans="1:8" x14ac:dyDescent="0.2">
      <c r="A18" s="501" t="s">
        <v>708</v>
      </c>
      <c r="B18" s="501" t="s">
        <v>709</v>
      </c>
      <c r="C18" s="500">
        <v>8473.0400000000009</v>
      </c>
      <c r="D18" s="500">
        <v>19894.34</v>
      </c>
      <c r="E18" s="500">
        <v>-11421.3</v>
      </c>
    </row>
    <row r="19" spans="1:8" x14ac:dyDescent="0.2">
      <c r="A19" s="501" t="s">
        <v>710</v>
      </c>
      <c r="B19" s="501" t="s">
        <v>711</v>
      </c>
      <c r="C19" s="500">
        <v>2153.85</v>
      </c>
      <c r="D19" s="500">
        <v>0</v>
      </c>
      <c r="E19" s="500">
        <v>2153.85</v>
      </c>
    </row>
    <row r="20" spans="1:8" x14ac:dyDescent="0.2">
      <c r="A20" s="501" t="s">
        <v>465</v>
      </c>
      <c r="B20" s="501" t="s">
        <v>466</v>
      </c>
      <c r="C20" s="500">
        <v>2129.9899999999998</v>
      </c>
      <c r="D20" s="500">
        <v>3588.19</v>
      </c>
      <c r="E20" s="500">
        <v>-1458.2</v>
      </c>
    </row>
    <row r="21" spans="1:8" x14ac:dyDescent="0.2">
      <c r="A21" s="501" t="s">
        <v>712</v>
      </c>
      <c r="B21" s="501" t="s">
        <v>713</v>
      </c>
      <c r="C21" s="500">
        <v>3674.72</v>
      </c>
      <c r="D21" s="500">
        <v>13389.08</v>
      </c>
      <c r="E21" s="500">
        <v>-9714.36</v>
      </c>
    </row>
    <row r="22" spans="1:8" x14ac:dyDescent="0.2">
      <c r="A22" s="501" t="s">
        <v>467</v>
      </c>
      <c r="B22" s="501" t="s">
        <v>468</v>
      </c>
      <c r="C22" s="500">
        <v>9310.4699999999993</v>
      </c>
      <c r="D22" s="500">
        <v>15369.31</v>
      </c>
      <c r="E22" s="500">
        <v>-6058.84</v>
      </c>
    </row>
    <row r="23" spans="1:8" x14ac:dyDescent="0.2">
      <c r="A23" s="501" t="s">
        <v>469</v>
      </c>
      <c r="B23" s="501" t="s">
        <v>299</v>
      </c>
      <c r="C23" s="500">
        <v>164446.23000000001</v>
      </c>
      <c r="D23" s="500">
        <v>387061.37</v>
      </c>
      <c r="E23" s="500">
        <v>-222615.14</v>
      </c>
    </row>
    <row r="24" spans="1:8" x14ac:dyDescent="0.2">
      <c r="A24" s="501" t="s">
        <v>470</v>
      </c>
      <c r="B24" s="501" t="s">
        <v>299</v>
      </c>
      <c r="C24" s="500">
        <v>503739.15</v>
      </c>
      <c r="D24" s="500">
        <v>1563626.76</v>
      </c>
      <c r="E24" s="500">
        <v>-1059887.6100000001</v>
      </c>
    </row>
    <row r="25" spans="1:8" x14ac:dyDescent="0.2">
      <c r="A25" s="501" t="s">
        <v>471</v>
      </c>
      <c r="B25" s="501" t="s">
        <v>299</v>
      </c>
      <c r="C25" s="500">
        <v>-279131.46000000002</v>
      </c>
      <c r="D25" s="500">
        <v>-1709459.91</v>
      </c>
      <c r="E25" s="500">
        <v>1430328.45</v>
      </c>
    </row>
    <row r="26" spans="1:8" x14ac:dyDescent="0.2">
      <c r="A26" s="501" t="s">
        <v>472</v>
      </c>
      <c r="B26" s="501" t="s">
        <v>299</v>
      </c>
      <c r="C26" s="500">
        <v>0</v>
      </c>
      <c r="D26" s="500">
        <v>0</v>
      </c>
      <c r="E26" s="500">
        <v>0</v>
      </c>
    </row>
    <row r="27" spans="1:8" x14ac:dyDescent="0.2">
      <c r="A27" s="501" t="s">
        <v>473</v>
      </c>
      <c r="B27" s="501" t="s">
        <v>474</v>
      </c>
      <c r="C27" s="500">
        <v>26479.15</v>
      </c>
      <c r="D27" s="500">
        <v>86311.09</v>
      </c>
      <c r="E27" s="500">
        <v>-59831.94</v>
      </c>
    </row>
    <row r="28" spans="1:8" x14ac:dyDescent="0.2">
      <c r="A28" s="501" t="s">
        <v>475</v>
      </c>
      <c r="B28" s="501" t="s">
        <v>476</v>
      </c>
      <c r="C28" s="500">
        <v>2036.24</v>
      </c>
      <c r="D28" s="500">
        <v>3334.07</v>
      </c>
      <c r="E28" s="500">
        <v>-1297.83</v>
      </c>
    </row>
    <row r="29" spans="1:8" x14ac:dyDescent="0.2">
      <c r="A29" s="501" t="s">
        <v>477</v>
      </c>
      <c r="B29" s="501" t="s">
        <v>478</v>
      </c>
      <c r="C29" s="500">
        <v>1303.21</v>
      </c>
      <c r="D29" s="500">
        <v>860.75</v>
      </c>
      <c r="E29" s="500">
        <v>442.46</v>
      </c>
    </row>
    <row r="30" spans="1:8" x14ac:dyDescent="0.2">
      <c r="A30" s="501" t="s">
        <v>483</v>
      </c>
      <c r="B30" s="501" t="s">
        <v>484</v>
      </c>
      <c r="C30" s="500">
        <v>442.2</v>
      </c>
      <c r="D30" s="500">
        <v>724.04</v>
      </c>
      <c r="E30" s="500">
        <v>-281.83999999999997</v>
      </c>
    </row>
    <row r="31" spans="1:8" x14ac:dyDescent="0.2">
      <c r="A31" s="501" t="s">
        <v>485</v>
      </c>
      <c r="B31" s="501" t="s">
        <v>299</v>
      </c>
      <c r="C31" s="500">
        <v>30260.799999999999</v>
      </c>
      <c r="D31" s="500">
        <v>91229.95</v>
      </c>
      <c r="E31" s="500">
        <v>-60969.15</v>
      </c>
    </row>
    <row r="32" spans="1:8" x14ac:dyDescent="0.2">
      <c r="A32" s="501" t="s">
        <v>489</v>
      </c>
      <c r="B32" s="501" t="s">
        <v>490</v>
      </c>
      <c r="C32" s="500">
        <v>38.81</v>
      </c>
      <c r="D32" s="500">
        <v>0</v>
      </c>
      <c r="E32" s="500">
        <v>38.81</v>
      </c>
    </row>
    <row r="33" spans="1:5" x14ac:dyDescent="0.2">
      <c r="A33" s="501" t="s">
        <v>714</v>
      </c>
      <c r="B33" s="501" t="s">
        <v>715</v>
      </c>
      <c r="C33" s="500">
        <v>943.4</v>
      </c>
      <c r="D33" s="500">
        <v>0</v>
      </c>
      <c r="E33" s="500">
        <v>943.4</v>
      </c>
    </row>
    <row r="34" spans="1:5" x14ac:dyDescent="0.2">
      <c r="A34" s="501" t="s">
        <v>491</v>
      </c>
      <c r="B34" s="501" t="s">
        <v>492</v>
      </c>
      <c r="C34" s="500">
        <v>2982.71</v>
      </c>
      <c r="D34" s="500">
        <v>9.8800000000000008</v>
      </c>
      <c r="E34" s="500">
        <v>2972.83</v>
      </c>
    </row>
    <row r="35" spans="1:5" x14ac:dyDescent="0.2">
      <c r="A35" s="501" t="s">
        <v>493</v>
      </c>
      <c r="B35" s="501" t="s">
        <v>494</v>
      </c>
      <c r="C35" s="500">
        <v>22525.41</v>
      </c>
      <c r="D35" s="500">
        <v>40696.400000000001</v>
      </c>
      <c r="E35" s="500">
        <v>-18170.990000000002</v>
      </c>
    </row>
    <row r="36" spans="1:5" x14ac:dyDescent="0.2">
      <c r="A36" s="501" t="s">
        <v>495</v>
      </c>
      <c r="B36" s="501" t="s">
        <v>496</v>
      </c>
      <c r="C36" s="500">
        <v>47812.87</v>
      </c>
      <c r="D36" s="500">
        <v>333.87</v>
      </c>
      <c r="E36" s="500">
        <v>47479</v>
      </c>
    </row>
    <row r="37" spans="1:5" x14ac:dyDescent="0.2">
      <c r="A37" s="501" t="s">
        <v>497</v>
      </c>
      <c r="B37" s="501" t="s">
        <v>498</v>
      </c>
      <c r="C37" s="500">
        <v>49751.01</v>
      </c>
      <c r="D37" s="500">
        <v>4421.97</v>
      </c>
      <c r="E37" s="500">
        <v>45329.04</v>
      </c>
    </row>
    <row r="38" spans="1:5" x14ac:dyDescent="0.2">
      <c r="A38" s="501" t="s">
        <v>503</v>
      </c>
      <c r="B38" s="501" t="s">
        <v>504</v>
      </c>
      <c r="C38" s="500">
        <v>0</v>
      </c>
      <c r="D38" s="500">
        <v>52.8</v>
      </c>
      <c r="E38" s="500">
        <v>-52.8</v>
      </c>
    </row>
    <row r="39" spans="1:5" x14ac:dyDescent="0.2">
      <c r="A39" s="501" t="s">
        <v>505</v>
      </c>
      <c r="B39" s="501" t="s">
        <v>506</v>
      </c>
      <c r="C39" s="500">
        <v>6372</v>
      </c>
      <c r="D39" s="500">
        <v>0</v>
      </c>
      <c r="E39" s="500">
        <v>6372</v>
      </c>
    </row>
    <row r="40" spans="1:5" x14ac:dyDescent="0.2">
      <c r="A40" s="501" t="s">
        <v>509</v>
      </c>
      <c r="B40" s="501" t="s">
        <v>510</v>
      </c>
      <c r="C40" s="500">
        <v>2750</v>
      </c>
      <c r="D40" s="500">
        <v>23321.88</v>
      </c>
      <c r="E40" s="500">
        <v>-20571.88</v>
      </c>
    </row>
    <row r="41" spans="1:5" x14ac:dyDescent="0.2">
      <c r="A41" s="501" t="s">
        <v>511</v>
      </c>
      <c r="B41" s="501" t="s">
        <v>512</v>
      </c>
      <c r="C41" s="500">
        <v>2377.4699999999998</v>
      </c>
      <c r="D41" s="500">
        <v>6804.18</v>
      </c>
      <c r="E41" s="500">
        <v>-4426.71</v>
      </c>
    </row>
    <row r="42" spans="1:5" x14ac:dyDescent="0.2">
      <c r="A42" s="501" t="s">
        <v>716</v>
      </c>
      <c r="B42" s="501" t="s">
        <v>717</v>
      </c>
      <c r="C42" s="500">
        <v>0</v>
      </c>
      <c r="D42" s="500">
        <v>1146.75</v>
      </c>
      <c r="E42" s="500">
        <v>-1146.75</v>
      </c>
    </row>
    <row r="43" spans="1:5" x14ac:dyDescent="0.2">
      <c r="A43" s="501" t="s">
        <v>513</v>
      </c>
      <c r="B43" s="501" t="s">
        <v>514</v>
      </c>
      <c r="C43" s="500">
        <v>13346.87</v>
      </c>
      <c r="D43" s="500">
        <v>53545.82</v>
      </c>
      <c r="E43" s="500">
        <v>-40198.949999999997</v>
      </c>
    </row>
    <row r="44" spans="1:5" x14ac:dyDescent="0.2">
      <c r="A44" s="501" t="s">
        <v>718</v>
      </c>
      <c r="B44" s="501" t="s">
        <v>719</v>
      </c>
      <c r="C44" s="500">
        <v>0</v>
      </c>
      <c r="D44" s="500">
        <v>5227.9399999999996</v>
      </c>
      <c r="E44" s="500">
        <v>-5227.9399999999996</v>
      </c>
    </row>
    <row r="45" spans="1:5" x14ac:dyDescent="0.2">
      <c r="A45" s="501" t="s">
        <v>517</v>
      </c>
      <c r="B45" s="501" t="s">
        <v>518</v>
      </c>
      <c r="C45" s="500">
        <v>401.25</v>
      </c>
      <c r="D45" s="500">
        <v>0</v>
      </c>
      <c r="E45" s="500">
        <v>401.25</v>
      </c>
    </row>
    <row r="46" spans="1:5" x14ac:dyDescent="0.2">
      <c r="A46" s="501" t="s">
        <v>521</v>
      </c>
      <c r="B46" s="501" t="s">
        <v>522</v>
      </c>
      <c r="C46" s="500">
        <v>1262.0899999999999</v>
      </c>
      <c r="D46" s="500">
        <v>6938.82</v>
      </c>
      <c r="E46" s="500">
        <v>-5676.73</v>
      </c>
    </row>
    <row r="47" spans="1:5" x14ac:dyDescent="0.2">
      <c r="A47" s="501" t="s">
        <v>523</v>
      </c>
      <c r="B47" s="501" t="s">
        <v>524</v>
      </c>
      <c r="C47" s="500">
        <v>2667.53</v>
      </c>
      <c r="D47" s="500">
        <v>5433.78</v>
      </c>
      <c r="E47" s="500">
        <v>-2766.25</v>
      </c>
    </row>
    <row r="48" spans="1:5" x14ac:dyDescent="0.2">
      <c r="A48" s="501" t="s">
        <v>525</v>
      </c>
      <c r="B48" s="501" t="s">
        <v>526</v>
      </c>
      <c r="C48" s="500">
        <v>1120.46</v>
      </c>
      <c r="D48" s="500">
        <v>61.85</v>
      </c>
      <c r="E48" s="500">
        <v>1058.6099999999999</v>
      </c>
    </row>
    <row r="49" spans="1:5" x14ac:dyDescent="0.2">
      <c r="A49" s="501" t="s">
        <v>720</v>
      </c>
      <c r="B49" s="501" t="s">
        <v>721</v>
      </c>
      <c r="C49" s="500">
        <v>0</v>
      </c>
      <c r="D49" s="500">
        <v>5070.41</v>
      </c>
      <c r="E49" s="500">
        <v>-5070.41</v>
      </c>
    </row>
    <row r="50" spans="1:5" x14ac:dyDescent="0.2">
      <c r="A50" s="501" t="s">
        <v>527</v>
      </c>
      <c r="B50" s="501" t="s">
        <v>528</v>
      </c>
      <c r="C50" s="500">
        <v>14701.61</v>
      </c>
      <c r="D50" s="500">
        <v>7008.69</v>
      </c>
      <c r="E50" s="500">
        <v>7692.92</v>
      </c>
    </row>
    <row r="51" spans="1:5" x14ac:dyDescent="0.2">
      <c r="A51" s="501" t="s">
        <v>531</v>
      </c>
      <c r="B51" s="501" t="s">
        <v>532</v>
      </c>
      <c r="C51" s="500">
        <v>154515.51</v>
      </c>
      <c r="D51" s="500">
        <v>85918.97</v>
      </c>
      <c r="E51" s="500">
        <v>68596.539999999994</v>
      </c>
    </row>
    <row r="52" spans="1:5" x14ac:dyDescent="0.2">
      <c r="A52" s="501" t="s">
        <v>537</v>
      </c>
      <c r="B52" s="501" t="s">
        <v>538</v>
      </c>
      <c r="C52" s="500">
        <v>1733.86</v>
      </c>
      <c r="D52" s="500">
        <v>37194.449999999997</v>
      </c>
      <c r="E52" s="500">
        <v>-35460.589999999997</v>
      </c>
    </row>
    <row r="53" spans="1:5" x14ac:dyDescent="0.2">
      <c r="A53" s="501" t="s">
        <v>539</v>
      </c>
      <c r="B53" s="501" t="s">
        <v>540</v>
      </c>
      <c r="C53" s="500">
        <v>3845.4</v>
      </c>
      <c r="D53" s="500">
        <v>4836.28</v>
      </c>
      <c r="E53" s="500">
        <v>-990.88</v>
      </c>
    </row>
    <row r="54" spans="1:5" x14ac:dyDescent="0.2">
      <c r="A54" s="501" t="s">
        <v>543</v>
      </c>
      <c r="B54" s="501" t="s">
        <v>544</v>
      </c>
      <c r="C54" s="500">
        <v>7211.98</v>
      </c>
      <c r="D54" s="500">
        <v>0</v>
      </c>
      <c r="E54" s="500">
        <v>7211.98</v>
      </c>
    </row>
    <row r="55" spans="1:5" x14ac:dyDescent="0.2">
      <c r="A55" s="501" t="s">
        <v>549</v>
      </c>
      <c r="B55" s="501" t="s">
        <v>550</v>
      </c>
      <c r="C55" s="500">
        <v>13390.16</v>
      </c>
      <c r="D55" s="500">
        <v>2880.73</v>
      </c>
      <c r="E55" s="500">
        <v>10509.43</v>
      </c>
    </row>
    <row r="56" spans="1:5" x14ac:dyDescent="0.2">
      <c r="A56" s="501" t="s">
        <v>555</v>
      </c>
      <c r="B56" s="501" t="s">
        <v>299</v>
      </c>
      <c r="C56" s="500">
        <v>349750.4</v>
      </c>
      <c r="D56" s="500">
        <v>290905.46999999997</v>
      </c>
      <c r="E56" s="500">
        <v>58844.93</v>
      </c>
    </row>
    <row r="57" spans="1:5" x14ac:dyDescent="0.2">
      <c r="A57" s="501" t="s">
        <v>558</v>
      </c>
      <c r="B57" s="501" t="s">
        <v>559</v>
      </c>
      <c r="C57" s="500">
        <v>14628.33</v>
      </c>
      <c r="D57" s="500">
        <v>67222.289999999994</v>
      </c>
      <c r="E57" s="500">
        <v>-52593.96</v>
      </c>
    </row>
    <row r="58" spans="1:5" x14ac:dyDescent="0.2">
      <c r="A58" s="501" t="s">
        <v>560</v>
      </c>
      <c r="B58" s="501" t="s">
        <v>561</v>
      </c>
      <c r="C58" s="500">
        <v>1957.61</v>
      </c>
      <c r="D58" s="500">
        <v>2348.5100000000002</v>
      </c>
      <c r="E58" s="500">
        <v>-390.9</v>
      </c>
    </row>
    <row r="59" spans="1:5" x14ac:dyDescent="0.2">
      <c r="A59" s="501" t="s">
        <v>562</v>
      </c>
      <c r="B59" s="501" t="s">
        <v>299</v>
      </c>
      <c r="C59" s="500">
        <v>16585.939999999999</v>
      </c>
      <c r="D59" s="500">
        <v>69570.8</v>
      </c>
      <c r="E59" s="500">
        <v>-52984.86</v>
      </c>
    </row>
    <row r="60" spans="1:5" x14ac:dyDescent="0.2">
      <c r="A60" s="501" t="s">
        <v>568</v>
      </c>
      <c r="B60" s="501" t="s">
        <v>569</v>
      </c>
      <c r="C60" s="500">
        <v>52256.17</v>
      </c>
      <c r="D60" s="500">
        <v>229256.6</v>
      </c>
      <c r="E60" s="500">
        <v>-177000.43</v>
      </c>
    </row>
    <row r="61" spans="1:5" x14ac:dyDescent="0.2">
      <c r="A61" s="501" t="s">
        <v>572</v>
      </c>
      <c r="B61" s="501" t="s">
        <v>299</v>
      </c>
      <c r="C61" s="500">
        <v>52256.17</v>
      </c>
      <c r="D61" s="500">
        <v>229256.6</v>
      </c>
      <c r="E61" s="500">
        <v>-177000.43</v>
      </c>
    </row>
    <row r="62" spans="1:5" x14ac:dyDescent="0.2">
      <c r="A62" s="501" t="s">
        <v>573</v>
      </c>
      <c r="B62" s="501" t="s">
        <v>299</v>
      </c>
      <c r="C62" s="500">
        <v>448853.31</v>
      </c>
      <c r="D62" s="500">
        <v>680962.82</v>
      </c>
      <c r="E62" s="500">
        <v>-232109.51</v>
      </c>
    </row>
    <row r="63" spans="1:5" x14ac:dyDescent="0.2">
      <c r="A63" s="501" t="s">
        <v>574</v>
      </c>
      <c r="B63" s="501" t="s">
        <v>299</v>
      </c>
      <c r="C63" s="500">
        <v>169721.85</v>
      </c>
      <c r="D63" s="500">
        <v>-1028497.09</v>
      </c>
      <c r="E63" s="500">
        <v>1198218.94</v>
      </c>
    </row>
    <row r="64" spans="1:5" x14ac:dyDescent="0.2">
      <c r="A64" s="501" t="s">
        <v>575</v>
      </c>
      <c r="B64" s="501" t="s">
        <v>299</v>
      </c>
      <c r="C64" s="500">
        <v>169721.85</v>
      </c>
      <c r="D64" s="500">
        <v>-1028497.09</v>
      </c>
      <c r="E64" s="500">
        <v>1198218.94</v>
      </c>
    </row>
    <row r="65" spans="1:5" x14ac:dyDescent="0.2">
      <c r="A65" s="501" t="s">
        <v>576</v>
      </c>
      <c r="B65" s="501" t="s">
        <v>299</v>
      </c>
      <c r="C65" s="500">
        <v>0</v>
      </c>
      <c r="D65" s="500">
        <v>0</v>
      </c>
      <c r="E65" s="500">
        <v>0</v>
      </c>
    </row>
    <row r="66" spans="1:5" x14ac:dyDescent="0.2">
      <c r="A66" s="501" t="s">
        <v>577</v>
      </c>
      <c r="B66" s="501" t="s">
        <v>299</v>
      </c>
      <c r="C66" s="500">
        <v>0</v>
      </c>
      <c r="D66" s="500">
        <v>0</v>
      </c>
      <c r="E66" s="500">
        <v>0</v>
      </c>
    </row>
    <row r="67" spans="1:5" x14ac:dyDescent="0.2">
      <c r="A67" s="501" t="s">
        <v>581</v>
      </c>
      <c r="B67" s="501" t="s">
        <v>582</v>
      </c>
      <c r="C67" s="500">
        <v>-10188.200000000001</v>
      </c>
      <c r="D67" s="500">
        <v>-29627.68</v>
      </c>
      <c r="E67" s="500">
        <v>19439.48</v>
      </c>
    </row>
    <row r="68" spans="1:5" x14ac:dyDescent="0.2">
      <c r="A68" s="501" t="s">
        <v>722</v>
      </c>
      <c r="B68" s="501" t="s">
        <v>723</v>
      </c>
      <c r="C68" s="500">
        <v>0</v>
      </c>
      <c r="D68" s="500">
        <v>-98688.62</v>
      </c>
      <c r="E68" s="500">
        <v>98688.62</v>
      </c>
    </row>
    <row r="69" spans="1:5" x14ac:dyDescent="0.2">
      <c r="A69" s="501" t="s">
        <v>585</v>
      </c>
      <c r="B69" s="501" t="s">
        <v>586</v>
      </c>
      <c r="C69" s="500">
        <v>0</v>
      </c>
      <c r="D69" s="500">
        <v>-126.03</v>
      </c>
      <c r="E69" s="500">
        <v>126.03</v>
      </c>
    </row>
    <row r="70" spans="1:5" x14ac:dyDescent="0.2">
      <c r="A70" s="501" t="s">
        <v>587</v>
      </c>
      <c r="B70" s="501" t="s">
        <v>299</v>
      </c>
      <c r="C70" s="500">
        <v>-10188.200000000001</v>
      </c>
      <c r="D70" s="500">
        <v>-128442.33</v>
      </c>
      <c r="E70" s="500">
        <v>118254.13</v>
      </c>
    </row>
    <row r="71" spans="1:5" x14ac:dyDescent="0.2">
      <c r="A71" s="501" t="s">
        <v>588</v>
      </c>
      <c r="B71" s="501" t="s">
        <v>299</v>
      </c>
      <c r="C71" s="500">
        <v>-10188.200000000001</v>
      </c>
      <c r="D71" s="500">
        <v>-128442.33</v>
      </c>
      <c r="E71" s="500">
        <v>118254.13</v>
      </c>
    </row>
    <row r="72" spans="1:5" x14ac:dyDescent="0.2">
      <c r="A72" s="501" t="s">
        <v>589</v>
      </c>
      <c r="B72" s="501" t="s">
        <v>299</v>
      </c>
      <c r="C72" s="500">
        <v>0</v>
      </c>
      <c r="D72" s="500">
        <v>0</v>
      </c>
      <c r="E72" s="500">
        <v>0</v>
      </c>
    </row>
    <row r="73" spans="1:5" x14ac:dyDescent="0.2">
      <c r="A73" s="501" t="s">
        <v>592</v>
      </c>
      <c r="B73" s="501" t="s">
        <v>593</v>
      </c>
      <c r="C73" s="500">
        <v>27307.88</v>
      </c>
      <c r="D73" s="500">
        <v>72647.77</v>
      </c>
      <c r="E73" s="500">
        <v>-45339.89</v>
      </c>
    </row>
    <row r="74" spans="1:5" x14ac:dyDescent="0.2">
      <c r="A74" s="501" t="s">
        <v>724</v>
      </c>
      <c r="B74" s="501" t="s">
        <v>725</v>
      </c>
      <c r="C74" s="500">
        <v>0</v>
      </c>
      <c r="D74" s="500">
        <v>53145.120000000003</v>
      </c>
      <c r="E74" s="500">
        <v>-53145.120000000003</v>
      </c>
    </row>
    <row r="75" spans="1:5" x14ac:dyDescent="0.2">
      <c r="A75" s="501" t="s">
        <v>600</v>
      </c>
      <c r="B75" s="501" t="s">
        <v>299</v>
      </c>
      <c r="C75" s="500">
        <v>27307.88</v>
      </c>
      <c r="D75" s="500">
        <v>125792.89</v>
      </c>
      <c r="E75" s="500">
        <v>-98485.01</v>
      </c>
    </row>
    <row r="76" spans="1:5" x14ac:dyDescent="0.2">
      <c r="A76" s="501" t="s">
        <v>601</v>
      </c>
      <c r="B76" s="501" t="s">
        <v>602</v>
      </c>
      <c r="C76" s="500">
        <v>188.94</v>
      </c>
      <c r="D76" s="500">
        <v>0.01</v>
      </c>
      <c r="E76" s="500">
        <v>188.93</v>
      </c>
    </row>
    <row r="77" spans="1:5" x14ac:dyDescent="0.2">
      <c r="A77" s="501" t="s">
        <v>603</v>
      </c>
      <c r="B77" s="501" t="s">
        <v>299</v>
      </c>
      <c r="C77" s="500">
        <v>188.94</v>
      </c>
      <c r="D77" s="500">
        <v>0.01</v>
      </c>
      <c r="E77" s="500">
        <v>188.93</v>
      </c>
    </row>
    <row r="78" spans="1:5" x14ac:dyDescent="0.2">
      <c r="A78" s="501" t="s">
        <v>604</v>
      </c>
      <c r="B78" s="501" t="s">
        <v>299</v>
      </c>
      <c r="C78" s="500">
        <v>27496.82</v>
      </c>
      <c r="D78" s="500">
        <v>125792.9</v>
      </c>
      <c r="E78" s="500">
        <v>-98296.08</v>
      </c>
    </row>
    <row r="79" spans="1:5" x14ac:dyDescent="0.2">
      <c r="A79" s="501" t="s">
        <v>605</v>
      </c>
      <c r="B79" s="501" t="s">
        <v>299</v>
      </c>
      <c r="C79" s="500">
        <v>17308.62</v>
      </c>
      <c r="D79" s="500">
        <v>-2649.43</v>
      </c>
      <c r="E79" s="500">
        <v>19958.05</v>
      </c>
    </row>
    <row r="80" spans="1:5" x14ac:dyDescent="0.2">
      <c r="A80" s="501" t="s">
        <v>606</v>
      </c>
      <c r="B80" s="501" t="s">
        <v>299</v>
      </c>
      <c r="C80" s="500">
        <v>187030.47</v>
      </c>
      <c r="D80" s="500">
        <v>-1031146.52</v>
      </c>
      <c r="E80" s="500">
        <v>1218176.99</v>
      </c>
    </row>
    <row r="81" spans="1:5" x14ac:dyDescent="0.2">
      <c r="A81" s="501" t="s">
        <v>607</v>
      </c>
      <c r="B81" s="501" t="s">
        <v>299</v>
      </c>
      <c r="C81" s="500">
        <v>0</v>
      </c>
      <c r="D81" s="500">
        <v>0</v>
      </c>
      <c r="E81" s="500">
        <v>0</v>
      </c>
    </row>
    <row r="82" spans="1:5" x14ac:dyDescent="0.2">
      <c r="A82" s="501" t="s">
        <v>726</v>
      </c>
      <c r="B82" s="501" t="s">
        <v>727</v>
      </c>
      <c r="C82" s="500">
        <v>0</v>
      </c>
      <c r="D82" s="500">
        <v>-23412</v>
      </c>
      <c r="E82" s="500">
        <v>23412</v>
      </c>
    </row>
    <row r="83" spans="1:5" x14ac:dyDescent="0.2">
      <c r="A83" s="501" t="s">
        <v>608</v>
      </c>
      <c r="B83" s="501" t="s">
        <v>609</v>
      </c>
      <c r="C83" s="500">
        <v>-56109.14</v>
      </c>
      <c r="D83" s="500">
        <v>311234.48</v>
      </c>
      <c r="E83" s="500">
        <v>-367343.62</v>
      </c>
    </row>
    <row r="84" spans="1:5" x14ac:dyDescent="0.2">
      <c r="A84" s="501" t="s">
        <v>610</v>
      </c>
      <c r="B84" s="501" t="s">
        <v>299</v>
      </c>
      <c r="C84" s="500">
        <v>-56109.14</v>
      </c>
      <c r="D84" s="500">
        <v>287822.48</v>
      </c>
      <c r="E84" s="500">
        <v>-343931.62</v>
      </c>
    </row>
    <row r="85" spans="1:5" x14ac:dyDescent="0.2">
      <c r="A85" s="501" t="s">
        <v>728</v>
      </c>
      <c r="B85" s="501" t="s">
        <v>729</v>
      </c>
      <c r="C85" s="500">
        <v>0</v>
      </c>
      <c r="D85" s="500">
        <v>7829</v>
      </c>
      <c r="E85" s="500">
        <v>-7829</v>
      </c>
    </row>
    <row r="86" spans="1:5" x14ac:dyDescent="0.2">
      <c r="A86" s="501" t="s">
        <v>730</v>
      </c>
      <c r="B86" s="501" t="s">
        <v>299</v>
      </c>
      <c r="C86" s="500">
        <v>0</v>
      </c>
      <c r="D86" s="500">
        <v>7829</v>
      </c>
      <c r="E86" s="500">
        <v>-7829</v>
      </c>
    </row>
    <row r="87" spans="1:5" x14ac:dyDescent="0.2">
      <c r="A87" s="501" t="s">
        <v>611</v>
      </c>
      <c r="B87" s="501" t="s">
        <v>299</v>
      </c>
      <c r="C87" s="500">
        <v>-56109.14</v>
      </c>
      <c r="D87" s="500">
        <v>295651.48</v>
      </c>
      <c r="E87" s="500">
        <v>-351760.62</v>
      </c>
    </row>
    <row r="88" spans="1:5" x14ac:dyDescent="0.2">
      <c r="A88" s="501" t="s">
        <v>612</v>
      </c>
      <c r="B88" s="501" t="s">
        <v>299</v>
      </c>
      <c r="C88" s="500">
        <v>130921.33</v>
      </c>
      <c r="D88" s="500">
        <v>-735495.04</v>
      </c>
      <c r="E88" s="500">
        <v>866416.37</v>
      </c>
    </row>
    <row r="89" spans="1:5" x14ac:dyDescent="0.2">
      <c r="A89" s="501" t="s">
        <v>613</v>
      </c>
      <c r="B89" s="501" t="s">
        <v>299</v>
      </c>
      <c r="C89" s="500">
        <v>130921.33</v>
      </c>
      <c r="D89" s="500">
        <v>-735495.04</v>
      </c>
      <c r="E89" s="500">
        <v>866416.37</v>
      </c>
    </row>
    <row r="90" spans="1:5" x14ac:dyDescent="0.2">
      <c r="A90" s="501" t="s">
        <v>731</v>
      </c>
      <c r="B90" s="501" t="s">
        <v>732</v>
      </c>
      <c r="C90" s="500">
        <v>0</v>
      </c>
      <c r="D90" s="500">
        <v>2103077.17</v>
      </c>
      <c r="E90" s="500">
        <v>-2103077.17</v>
      </c>
    </row>
    <row r="91" spans="1:5" x14ac:dyDescent="0.2">
      <c r="A91" s="501" t="s">
        <v>624</v>
      </c>
      <c r="B91" s="501" t="s">
        <v>625</v>
      </c>
      <c r="C91" s="500">
        <v>-2288344.63</v>
      </c>
      <c r="D91" s="500">
        <v>-5517185.6600000001</v>
      </c>
      <c r="E91" s="500">
        <v>3228841.03</v>
      </c>
    </row>
    <row r="92" spans="1:5" x14ac:dyDescent="0.2">
      <c r="A92" s="501" t="s">
        <v>626</v>
      </c>
      <c r="B92" s="501" t="s">
        <v>627</v>
      </c>
      <c r="C92" s="500">
        <v>782870.61</v>
      </c>
      <c r="D92" s="500">
        <v>1845681.47</v>
      </c>
      <c r="E92" s="500">
        <v>-1062810.8600000001</v>
      </c>
    </row>
    <row r="93" spans="1:5" x14ac:dyDescent="0.2">
      <c r="A93" s="501" t="s">
        <v>733</v>
      </c>
      <c r="B93" s="501" t="s">
        <v>734</v>
      </c>
      <c r="C93" s="500">
        <v>0</v>
      </c>
      <c r="D93" s="500">
        <v>45543.5</v>
      </c>
      <c r="E93" s="500">
        <v>-45543.5</v>
      </c>
    </row>
    <row r="94" spans="1:5" x14ac:dyDescent="0.2">
      <c r="A94" s="501" t="s">
        <v>634</v>
      </c>
      <c r="B94" s="501" t="s">
        <v>635</v>
      </c>
      <c r="C94" s="500">
        <v>36307.29</v>
      </c>
      <c r="D94" s="500">
        <v>25285.24</v>
      </c>
      <c r="E94" s="500">
        <v>11022.05</v>
      </c>
    </row>
    <row r="95" spans="1:5" x14ac:dyDescent="0.2">
      <c r="A95" s="501" t="s">
        <v>644</v>
      </c>
      <c r="B95" s="501" t="s">
        <v>645</v>
      </c>
      <c r="C95" s="500">
        <v>-104919.81</v>
      </c>
      <c r="D95" s="500">
        <v>-104919.81</v>
      </c>
      <c r="E95" s="500">
        <v>0</v>
      </c>
    </row>
    <row r="96" spans="1:5" x14ac:dyDescent="0.2">
      <c r="A96" s="501" t="s">
        <v>648</v>
      </c>
      <c r="B96" s="501" t="s">
        <v>649</v>
      </c>
      <c r="C96" s="500">
        <v>443605.31</v>
      </c>
      <c r="D96" s="500">
        <v>599433.37</v>
      </c>
      <c r="E96" s="500">
        <v>-155828.06</v>
      </c>
    </row>
    <row r="97" spans="1:5" x14ac:dyDescent="0.2">
      <c r="A97" s="501" t="s">
        <v>735</v>
      </c>
      <c r="B97" s="501" t="s">
        <v>736</v>
      </c>
      <c r="C97" s="500">
        <v>167066.57</v>
      </c>
      <c r="D97" s="500">
        <v>51791.49</v>
      </c>
      <c r="E97" s="500">
        <v>115275.08</v>
      </c>
    </row>
    <row r="98" spans="1:5" x14ac:dyDescent="0.2">
      <c r="A98" s="499" t="s">
        <v>656</v>
      </c>
      <c r="B98" s="501" t="s">
        <v>657</v>
      </c>
      <c r="C98" s="500">
        <v>3721902.36</v>
      </c>
      <c r="D98" s="500">
        <v>4049787.57</v>
      </c>
      <c r="E98" s="500">
        <v>-327885.21000000002</v>
      </c>
    </row>
    <row r="99" spans="1:5" x14ac:dyDescent="0.2">
      <c r="A99" s="499" t="s">
        <v>658</v>
      </c>
      <c r="B99" s="501" t="s">
        <v>659</v>
      </c>
      <c r="C99" s="500">
        <v>121908.24</v>
      </c>
      <c r="D99" s="500">
        <v>3065602.03</v>
      </c>
      <c r="E99" s="500">
        <v>-2943693.79</v>
      </c>
    </row>
    <row r="100" spans="1:5" x14ac:dyDescent="0.2">
      <c r="A100" s="499" t="s">
        <v>660</v>
      </c>
      <c r="B100" s="501" t="s">
        <v>661</v>
      </c>
      <c r="C100" s="500">
        <v>0</v>
      </c>
      <c r="D100" s="500">
        <v>14579.56</v>
      </c>
      <c r="E100" s="500">
        <v>-14579.56</v>
      </c>
    </row>
    <row r="101" spans="1:5" x14ac:dyDescent="0.2">
      <c r="A101" s="499" t="s">
        <v>737</v>
      </c>
      <c r="B101" s="501" t="s">
        <v>738</v>
      </c>
      <c r="C101" s="500">
        <v>0</v>
      </c>
      <c r="D101" s="500">
        <v>99577.08</v>
      </c>
      <c r="E101" s="500">
        <v>-99577.08</v>
      </c>
    </row>
    <row r="102" spans="1:5" x14ac:dyDescent="0.2">
      <c r="A102" s="499" t="s">
        <v>662</v>
      </c>
      <c r="B102" s="501" t="s">
        <v>663</v>
      </c>
      <c r="C102" s="500">
        <v>2024290.61</v>
      </c>
      <c r="D102" s="500">
        <v>1055379.48</v>
      </c>
      <c r="E102" s="500">
        <v>968911.13</v>
      </c>
    </row>
    <row r="103" spans="1:5" x14ac:dyDescent="0.2">
      <c r="A103" s="499" t="s">
        <v>664</v>
      </c>
      <c r="B103" s="501" t="s">
        <v>665</v>
      </c>
      <c r="C103" s="500">
        <v>0</v>
      </c>
      <c r="D103" s="500">
        <v>86335.56</v>
      </c>
      <c r="E103" s="500">
        <v>-86335.56</v>
      </c>
    </row>
    <row r="104" spans="1:5" x14ac:dyDescent="0.2">
      <c r="A104" s="499" t="s">
        <v>666</v>
      </c>
      <c r="B104" s="501" t="s">
        <v>667</v>
      </c>
      <c r="C104" s="500">
        <v>-1212163.48</v>
      </c>
      <c r="D104" s="500">
        <v>-1365778.6</v>
      </c>
      <c r="E104" s="500">
        <v>153615.12</v>
      </c>
    </row>
    <row r="105" spans="1:5" x14ac:dyDescent="0.2">
      <c r="A105" s="499" t="s">
        <v>668</v>
      </c>
      <c r="B105" s="501" t="s">
        <v>669</v>
      </c>
      <c r="C105" s="500">
        <v>-1002</v>
      </c>
      <c r="D105" s="500">
        <v>-63935</v>
      </c>
      <c r="E105" s="500">
        <v>62933</v>
      </c>
    </row>
    <row r="106" spans="1:5" x14ac:dyDescent="0.2">
      <c r="A106" s="499" t="s">
        <v>670</v>
      </c>
      <c r="B106" s="501" t="s">
        <v>671</v>
      </c>
      <c r="C106" s="500">
        <v>0</v>
      </c>
      <c r="D106" s="500">
        <v>-735</v>
      </c>
      <c r="E106" s="500">
        <v>735</v>
      </c>
    </row>
    <row r="107" spans="1:5" x14ac:dyDescent="0.2">
      <c r="A107" s="499" t="s">
        <v>739</v>
      </c>
      <c r="B107" s="501" t="s">
        <v>740</v>
      </c>
      <c r="C107" s="500">
        <v>0</v>
      </c>
      <c r="D107" s="500">
        <v>-2298</v>
      </c>
      <c r="E107" s="500">
        <v>2298</v>
      </c>
    </row>
    <row r="108" spans="1:5" x14ac:dyDescent="0.2">
      <c r="A108" s="501" t="s">
        <v>672</v>
      </c>
      <c r="B108" s="501" t="s">
        <v>673</v>
      </c>
      <c r="C108" s="500">
        <v>0</v>
      </c>
      <c r="D108" s="500">
        <v>225040</v>
      </c>
      <c r="E108" s="500">
        <v>-225040</v>
      </c>
    </row>
    <row r="109" spans="1:5" x14ac:dyDescent="0.2">
      <c r="A109" s="501" t="s">
        <v>741</v>
      </c>
      <c r="B109" s="501" t="s">
        <v>742</v>
      </c>
      <c r="C109" s="500">
        <v>109606.14</v>
      </c>
      <c r="D109" s="500">
        <v>-201628.34</v>
      </c>
      <c r="E109" s="500">
        <v>311234.48</v>
      </c>
    </row>
    <row r="110" spans="1:5" x14ac:dyDescent="0.2">
      <c r="A110" s="501" t="s">
        <v>743</v>
      </c>
      <c r="B110" s="501" t="s">
        <v>744</v>
      </c>
      <c r="C110" s="500">
        <v>0</v>
      </c>
      <c r="D110" s="500">
        <v>-209457</v>
      </c>
      <c r="E110" s="500">
        <v>209457</v>
      </c>
    </row>
    <row r="111" spans="1:5" x14ac:dyDescent="0.2">
      <c r="A111" s="501" t="s">
        <v>678</v>
      </c>
      <c r="B111" s="501" t="s">
        <v>679</v>
      </c>
      <c r="C111" s="500">
        <v>61928.28</v>
      </c>
      <c r="D111" s="500">
        <v>216194.54</v>
      </c>
      <c r="E111" s="500">
        <v>-154266.26</v>
      </c>
    </row>
    <row r="112" spans="1:5" x14ac:dyDescent="0.2">
      <c r="A112" s="501" t="s">
        <v>745</v>
      </c>
      <c r="B112" s="501" t="s">
        <v>746</v>
      </c>
      <c r="C112" s="500">
        <v>0</v>
      </c>
      <c r="D112" s="500">
        <v>-6475.04</v>
      </c>
      <c r="E112" s="500">
        <v>6475.04</v>
      </c>
    </row>
    <row r="113" spans="1:5" x14ac:dyDescent="0.2">
      <c r="A113" s="501" t="s">
        <v>682</v>
      </c>
      <c r="B113" s="501" t="s">
        <v>683</v>
      </c>
      <c r="C113" s="500">
        <v>-620649.87</v>
      </c>
      <c r="D113" s="500">
        <v>-13867.18</v>
      </c>
      <c r="E113" s="500">
        <v>-606782.68999999994</v>
      </c>
    </row>
    <row r="114" spans="1:5" x14ac:dyDescent="0.2">
      <c r="A114" s="501" t="s">
        <v>684</v>
      </c>
      <c r="B114" s="501" t="s">
        <v>685</v>
      </c>
      <c r="C114" s="500">
        <v>0</v>
      </c>
      <c r="D114" s="500">
        <v>126.03</v>
      </c>
      <c r="E114" s="500">
        <v>-126.03</v>
      </c>
    </row>
    <row r="115" spans="1:5" x14ac:dyDescent="0.2">
      <c r="A115" s="501" t="s">
        <v>686</v>
      </c>
      <c r="B115" s="501" t="s">
        <v>687</v>
      </c>
      <c r="C115" s="500">
        <v>-3893.85</v>
      </c>
      <c r="D115" s="500">
        <v>-112135.98</v>
      </c>
      <c r="E115" s="500">
        <v>108242.13</v>
      </c>
    </row>
    <row r="116" spans="1:5" x14ac:dyDescent="0.2">
      <c r="A116" s="501" t="s">
        <v>688</v>
      </c>
      <c r="B116" s="501" t="s">
        <v>689</v>
      </c>
      <c r="C116" s="500">
        <v>-149357.99</v>
      </c>
      <c r="D116" s="500">
        <v>-32103.22</v>
      </c>
      <c r="E116" s="500">
        <v>-117254.77</v>
      </c>
    </row>
    <row r="117" spans="1:5" x14ac:dyDescent="0.2">
      <c r="A117" s="501" t="s">
        <v>690</v>
      </c>
      <c r="B117" s="501" t="s">
        <v>691</v>
      </c>
      <c r="C117" s="500">
        <v>3273.45</v>
      </c>
      <c r="D117" s="500">
        <v>-77081.27</v>
      </c>
      <c r="E117" s="500">
        <v>80354.720000000001</v>
      </c>
    </row>
    <row r="118" spans="1:5" x14ac:dyDescent="0.2">
      <c r="A118" s="501" t="s">
        <v>747</v>
      </c>
      <c r="B118" s="501" t="s">
        <v>748</v>
      </c>
      <c r="C118" s="500">
        <v>0</v>
      </c>
      <c r="D118" s="500">
        <v>-100.84</v>
      </c>
      <c r="E118" s="500">
        <v>100.84</v>
      </c>
    </row>
    <row r="119" spans="1:5" x14ac:dyDescent="0.2">
      <c r="A119" s="501" t="s">
        <v>749</v>
      </c>
      <c r="B119" s="501" t="s">
        <v>750</v>
      </c>
      <c r="C119" s="500">
        <v>-3170.05</v>
      </c>
      <c r="D119" s="500">
        <v>-17232.02</v>
      </c>
      <c r="E119" s="500">
        <v>14061.97</v>
      </c>
    </row>
    <row r="120" spans="1:5" x14ac:dyDescent="0.2">
      <c r="A120" s="501" t="s">
        <v>692</v>
      </c>
      <c r="B120" s="501" t="s">
        <v>693</v>
      </c>
      <c r="C120" s="500">
        <v>0</v>
      </c>
      <c r="D120" s="500">
        <v>-19822.36</v>
      </c>
      <c r="E120" s="500">
        <v>19822.36</v>
      </c>
    </row>
    <row r="121" spans="1:5" x14ac:dyDescent="0.2">
      <c r="A121" s="501" t="s">
        <v>751</v>
      </c>
      <c r="B121" s="501" t="s">
        <v>752</v>
      </c>
      <c r="C121" s="500">
        <v>0</v>
      </c>
      <c r="D121" s="500">
        <v>-26386.85</v>
      </c>
      <c r="E121" s="500">
        <v>26386.85</v>
      </c>
    </row>
    <row r="122" spans="1:5" x14ac:dyDescent="0.2">
      <c r="A122" s="501" t="s">
        <v>702</v>
      </c>
      <c r="B122" s="501" t="s">
        <v>703</v>
      </c>
      <c r="C122" s="500">
        <v>-3342259.01</v>
      </c>
      <c r="D122" s="500">
        <v>-5217611.66</v>
      </c>
      <c r="E122" s="500">
        <v>1875352.65</v>
      </c>
    </row>
    <row r="123" spans="1:5" x14ac:dyDescent="0.2">
      <c r="A123" s="501" t="s">
        <v>753</v>
      </c>
      <c r="B123" s="501" t="s">
        <v>754</v>
      </c>
      <c r="C123" s="500">
        <v>-2747.37</v>
      </c>
      <c r="D123" s="500">
        <v>-14934.42</v>
      </c>
      <c r="E123" s="500">
        <v>12187.05</v>
      </c>
    </row>
    <row r="124" spans="1:5" x14ac:dyDescent="0.2">
      <c r="A124" s="501" t="s">
        <v>706</v>
      </c>
      <c r="B124" s="501" t="s">
        <v>707</v>
      </c>
      <c r="C124" s="500">
        <v>124827.87</v>
      </c>
      <c r="D124" s="500">
        <v>255749.2</v>
      </c>
      <c r="E124" s="500">
        <v>-130921.33</v>
      </c>
    </row>
  </sheetData>
  <pageMargins left="0.7" right="0.7" top="0.75" bottom="0.75" header="0.3" footer="0.3"/>
  <customProperties>
    <customPr name="_pios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L849"/>
  <sheetViews>
    <sheetView topLeftCell="A823" workbookViewId="0"/>
  </sheetViews>
  <sheetFormatPr defaultColWidth="11.42578125" defaultRowHeight="12.75" x14ac:dyDescent="0.2"/>
  <cols>
    <col min="1" max="1" width="5.7109375" customWidth="1"/>
    <col min="2" max="2" width="10.7109375" customWidth="1"/>
    <col min="3" max="3" width="7.7109375" customWidth="1"/>
    <col min="4" max="4" width="6.7109375" customWidth="1"/>
    <col min="5" max="5" width="10.7109375" customWidth="1"/>
    <col min="6" max="6" width="44.7109375" customWidth="1"/>
    <col min="7" max="7" width="18.7109375" customWidth="1"/>
    <col min="8" max="8" width="20.42578125" customWidth="1"/>
    <col min="9" max="9" width="18.7109375" customWidth="1"/>
    <col min="10" max="10" width="7.7109375" customWidth="1"/>
    <col min="11" max="11" width="2.7109375" customWidth="1"/>
    <col min="12" max="12" width="5.7109375" customWidth="1"/>
    <col min="257" max="257" width="5.7109375" customWidth="1"/>
    <col min="258" max="258" width="10.7109375" customWidth="1"/>
    <col min="259" max="259" width="7.7109375" customWidth="1"/>
    <col min="260" max="260" width="6.7109375" customWidth="1"/>
    <col min="261" max="261" width="10.7109375" customWidth="1"/>
    <col min="262" max="262" width="44.7109375" customWidth="1"/>
    <col min="263" max="263" width="15.7109375" customWidth="1"/>
    <col min="264" max="264" width="14.7109375" customWidth="1"/>
    <col min="265" max="265" width="12.7109375" customWidth="1"/>
    <col min="266" max="266" width="7.7109375" customWidth="1"/>
    <col min="267" max="267" width="2.7109375" customWidth="1"/>
    <col min="268" max="268" width="5.7109375" customWidth="1"/>
    <col min="513" max="513" width="5.7109375" customWidth="1"/>
    <col min="514" max="514" width="10.7109375" customWidth="1"/>
    <col min="515" max="515" width="7.7109375" customWidth="1"/>
    <col min="516" max="516" width="6.7109375" customWidth="1"/>
    <col min="517" max="517" width="10.7109375" customWidth="1"/>
    <col min="518" max="518" width="44.7109375" customWidth="1"/>
    <col min="519" max="519" width="15.7109375" customWidth="1"/>
    <col min="520" max="520" width="14.7109375" customWidth="1"/>
    <col min="521" max="521" width="12.7109375" customWidth="1"/>
    <col min="522" max="522" width="7.7109375" customWidth="1"/>
    <col min="523" max="523" width="2.7109375" customWidth="1"/>
    <col min="524" max="524" width="5.7109375" customWidth="1"/>
    <col min="769" max="769" width="5.7109375" customWidth="1"/>
    <col min="770" max="770" width="10.7109375" customWidth="1"/>
    <col min="771" max="771" width="7.7109375" customWidth="1"/>
    <col min="772" max="772" width="6.7109375" customWidth="1"/>
    <col min="773" max="773" width="10.7109375" customWidth="1"/>
    <col min="774" max="774" width="44.7109375" customWidth="1"/>
    <col min="775" max="775" width="15.7109375" customWidth="1"/>
    <col min="776" max="776" width="14.7109375" customWidth="1"/>
    <col min="777" max="777" width="12.7109375" customWidth="1"/>
    <col min="778" max="778" width="7.7109375" customWidth="1"/>
    <col min="779" max="779" width="2.7109375" customWidth="1"/>
    <col min="780" max="780" width="5.7109375" customWidth="1"/>
    <col min="1025" max="1025" width="5.7109375" customWidth="1"/>
    <col min="1026" max="1026" width="10.7109375" customWidth="1"/>
    <col min="1027" max="1027" width="7.7109375" customWidth="1"/>
    <col min="1028" max="1028" width="6.7109375" customWidth="1"/>
    <col min="1029" max="1029" width="10.7109375" customWidth="1"/>
    <col min="1030" max="1030" width="44.7109375" customWidth="1"/>
    <col min="1031" max="1031" width="15.7109375" customWidth="1"/>
    <col min="1032" max="1032" width="14.7109375" customWidth="1"/>
    <col min="1033" max="1033" width="12.7109375" customWidth="1"/>
    <col min="1034" max="1034" width="7.7109375" customWidth="1"/>
    <col min="1035" max="1035" width="2.7109375" customWidth="1"/>
    <col min="1036" max="1036" width="5.7109375" customWidth="1"/>
    <col min="1281" max="1281" width="5.7109375" customWidth="1"/>
    <col min="1282" max="1282" width="10.7109375" customWidth="1"/>
    <col min="1283" max="1283" width="7.7109375" customWidth="1"/>
    <col min="1284" max="1284" width="6.7109375" customWidth="1"/>
    <col min="1285" max="1285" width="10.7109375" customWidth="1"/>
    <col min="1286" max="1286" width="44.7109375" customWidth="1"/>
    <col min="1287" max="1287" width="15.7109375" customWidth="1"/>
    <col min="1288" max="1288" width="14.7109375" customWidth="1"/>
    <col min="1289" max="1289" width="12.7109375" customWidth="1"/>
    <col min="1290" max="1290" width="7.7109375" customWidth="1"/>
    <col min="1291" max="1291" width="2.7109375" customWidth="1"/>
    <col min="1292" max="1292" width="5.7109375" customWidth="1"/>
    <col min="1537" max="1537" width="5.7109375" customWidth="1"/>
    <col min="1538" max="1538" width="10.7109375" customWidth="1"/>
    <col min="1539" max="1539" width="7.7109375" customWidth="1"/>
    <col min="1540" max="1540" width="6.7109375" customWidth="1"/>
    <col min="1541" max="1541" width="10.7109375" customWidth="1"/>
    <col min="1542" max="1542" width="44.7109375" customWidth="1"/>
    <col min="1543" max="1543" width="15.7109375" customWidth="1"/>
    <col min="1544" max="1544" width="14.7109375" customWidth="1"/>
    <col min="1545" max="1545" width="12.7109375" customWidth="1"/>
    <col min="1546" max="1546" width="7.7109375" customWidth="1"/>
    <col min="1547" max="1547" width="2.7109375" customWidth="1"/>
    <col min="1548" max="1548" width="5.7109375" customWidth="1"/>
    <col min="1793" max="1793" width="5.7109375" customWidth="1"/>
    <col min="1794" max="1794" width="10.7109375" customWidth="1"/>
    <col min="1795" max="1795" width="7.7109375" customWidth="1"/>
    <col min="1796" max="1796" width="6.7109375" customWidth="1"/>
    <col min="1797" max="1797" width="10.7109375" customWidth="1"/>
    <col min="1798" max="1798" width="44.7109375" customWidth="1"/>
    <col min="1799" max="1799" width="15.7109375" customWidth="1"/>
    <col min="1800" max="1800" width="14.7109375" customWidth="1"/>
    <col min="1801" max="1801" width="12.7109375" customWidth="1"/>
    <col min="1802" max="1802" width="7.7109375" customWidth="1"/>
    <col min="1803" max="1803" width="2.7109375" customWidth="1"/>
    <col min="1804" max="1804" width="5.7109375" customWidth="1"/>
    <col min="2049" max="2049" width="5.7109375" customWidth="1"/>
    <col min="2050" max="2050" width="10.7109375" customWidth="1"/>
    <col min="2051" max="2051" width="7.7109375" customWidth="1"/>
    <col min="2052" max="2052" width="6.7109375" customWidth="1"/>
    <col min="2053" max="2053" width="10.7109375" customWidth="1"/>
    <col min="2054" max="2054" width="44.7109375" customWidth="1"/>
    <col min="2055" max="2055" width="15.7109375" customWidth="1"/>
    <col min="2056" max="2056" width="14.7109375" customWidth="1"/>
    <col min="2057" max="2057" width="12.7109375" customWidth="1"/>
    <col min="2058" max="2058" width="7.7109375" customWidth="1"/>
    <col min="2059" max="2059" width="2.7109375" customWidth="1"/>
    <col min="2060" max="2060" width="5.7109375" customWidth="1"/>
    <col min="2305" max="2305" width="5.7109375" customWidth="1"/>
    <col min="2306" max="2306" width="10.7109375" customWidth="1"/>
    <col min="2307" max="2307" width="7.7109375" customWidth="1"/>
    <col min="2308" max="2308" width="6.7109375" customWidth="1"/>
    <col min="2309" max="2309" width="10.7109375" customWidth="1"/>
    <col min="2310" max="2310" width="44.7109375" customWidth="1"/>
    <col min="2311" max="2311" width="15.7109375" customWidth="1"/>
    <col min="2312" max="2312" width="14.7109375" customWidth="1"/>
    <col min="2313" max="2313" width="12.7109375" customWidth="1"/>
    <col min="2314" max="2314" width="7.7109375" customWidth="1"/>
    <col min="2315" max="2315" width="2.7109375" customWidth="1"/>
    <col min="2316" max="2316" width="5.7109375" customWidth="1"/>
    <col min="2561" max="2561" width="5.7109375" customWidth="1"/>
    <col min="2562" max="2562" width="10.7109375" customWidth="1"/>
    <col min="2563" max="2563" width="7.7109375" customWidth="1"/>
    <col min="2564" max="2564" width="6.7109375" customWidth="1"/>
    <col min="2565" max="2565" width="10.7109375" customWidth="1"/>
    <col min="2566" max="2566" width="44.7109375" customWidth="1"/>
    <col min="2567" max="2567" width="15.7109375" customWidth="1"/>
    <col min="2568" max="2568" width="14.7109375" customWidth="1"/>
    <col min="2569" max="2569" width="12.7109375" customWidth="1"/>
    <col min="2570" max="2570" width="7.7109375" customWidth="1"/>
    <col min="2571" max="2571" width="2.7109375" customWidth="1"/>
    <col min="2572" max="2572" width="5.7109375" customWidth="1"/>
    <col min="2817" max="2817" width="5.7109375" customWidth="1"/>
    <col min="2818" max="2818" width="10.7109375" customWidth="1"/>
    <col min="2819" max="2819" width="7.7109375" customWidth="1"/>
    <col min="2820" max="2820" width="6.7109375" customWidth="1"/>
    <col min="2821" max="2821" width="10.7109375" customWidth="1"/>
    <col min="2822" max="2822" width="44.7109375" customWidth="1"/>
    <col min="2823" max="2823" width="15.7109375" customWidth="1"/>
    <col min="2824" max="2824" width="14.7109375" customWidth="1"/>
    <col min="2825" max="2825" width="12.7109375" customWidth="1"/>
    <col min="2826" max="2826" width="7.7109375" customWidth="1"/>
    <col min="2827" max="2827" width="2.7109375" customWidth="1"/>
    <col min="2828" max="2828" width="5.7109375" customWidth="1"/>
    <col min="3073" max="3073" width="5.7109375" customWidth="1"/>
    <col min="3074" max="3074" width="10.7109375" customWidth="1"/>
    <col min="3075" max="3075" width="7.7109375" customWidth="1"/>
    <col min="3076" max="3076" width="6.7109375" customWidth="1"/>
    <col min="3077" max="3077" width="10.7109375" customWidth="1"/>
    <col min="3078" max="3078" width="44.7109375" customWidth="1"/>
    <col min="3079" max="3079" width="15.7109375" customWidth="1"/>
    <col min="3080" max="3080" width="14.7109375" customWidth="1"/>
    <col min="3081" max="3081" width="12.7109375" customWidth="1"/>
    <col min="3082" max="3082" width="7.7109375" customWidth="1"/>
    <col min="3083" max="3083" width="2.7109375" customWidth="1"/>
    <col min="3084" max="3084" width="5.7109375" customWidth="1"/>
    <col min="3329" max="3329" width="5.7109375" customWidth="1"/>
    <col min="3330" max="3330" width="10.7109375" customWidth="1"/>
    <col min="3331" max="3331" width="7.7109375" customWidth="1"/>
    <col min="3332" max="3332" width="6.7109375" customWidth="1"/>
    <col min="3333" max="3333" width="10.7109375" customWidth="1"/>
    <col min="3334" max="3334" width="44.7109375" customWidth="1"/>
    <col min="3335" max="3335" width="15.7109375" customWidth="1"/>
    <col min="3336" max="3336" width="14.7109375" customWidth="1"/>
    <col min="3337" max="3337" width="12.7109375" customWidth="1"/>
    <col min="3338" max="3338" width="7.7109375" customWidth="1"/>
    <col min="3339" max="3339" width="2.7109375" customWidth="1"/>
    <col min="3340" max="3340" width="5.7109375" customWidth="1"/>
    <col min="3585" max="3585" width="5.7109375" customWidth="1"/>
    <col min="3586" max="3586" width="10.7109375" customWidth="1"/>
    <col min="3587" max="3587" width="7.7109375" customWidth="1"/>
    <col min="3588" max="3588" width="6.7109375" customWidth="1"/>
    <col min="3589" max="3589" width="10.7109375" customWidth="1"/>
    <col min="3590" max="3590" width="44.7109375" customWidth="1"/>
    <col min="3591" max="3591" width="15.7109375" customWidth="1"/>
    <col min="3592" max="3592" width="14.7109375" customWidth="1"/>
    <col min="3593" max="3593" width="12.7109375" customWidth="1"/>
    <col min="3594" max="3594" width="7.7109375" customWidth="1"/>
    <col min="3595" max="3595" width="2.7109375" customWidth="1"/>
    <col min="3596" max="3596" width="5.7109375" customWidth="1"/>
    <col min="3841" max="3841" width="5.7109375" customWidth="1"/>
    <col min="3842" max="3842" width="10.7109375" customWidth="1"/>
    <col min="3843" max="3843" width="7.7109375" customWidth="1"/>
    <col min="3844" max="3844" width="6.7109375" customWidth="1"/>
    <col min="3845" max="3845" width="10.7109375" customWidth="1"/>
    <col min="3846" max="3846" width="44.7109375" customWidth="1"/>
    <col min="3847" max="3847" width="15.7109375" customWidth="1"/>
    <col min="3848" max="3848" width="14.7109375" customWidth="1"/>
    <col min="3849" max="3849" width="12.7109375" customWidth="1"/>
    <col min="3850" max="3850" width="7.7109375" customWidth="1"/>
    <col min="3851" max="3851" width="2.7109375" customWidth="1"/>
    <col min="3852" max="3852" width="5.7109375" customWidth="1"/>
    <col min="4097" max="4097" width="5.7109375" customWidth="1"/>
    <col min="4098" max="4098" width="10.7109375" customWidth="1"/>
    <col min="4099" max="4099" width="7.7109375" customWidth="1"/>
    <col min="4100" max="4100" width="6.7109375" customWidth="1"/>
    <col min="4101" max="4101" width="10.7109375" customWidth="1"/>
    <col min="4102" max="4102" width="44.7109375" customWidth="1"/>
    <col min="4103" max="4103" width="15.7109375" customWidth="1"/>
    <col min="4104" max="4104" width="14.7109375" customWidth="1"/>
    <col min="4105" max="4105" width="12.7109375" customWidth="1"/>
    <col min="4106" max="4106" width="7.7109375" customWidth="1"/>
    <col min="4107" max="4107" width="2.7109375" customWidth="1"/>
    <col min="4108" max="4108" width="5.7109375" customWidth="1"/>
    <col min="4353" max="4353" width="5.7109375" customWidth="1"/>
    <col min="4354" max="4354" width="10.7109375" customWidth="1"/>
    <col min="4355" max="4355" width="7.7109375" customWidth="1"/>
    <col min="4356" max="4356" width="6.7109375" customWidth="1"/>
    <col min="4357" max="4357" width="10.7109375" customWidth="1"/>
    <col min="4358" max="4358" width="44.7109375" customWidth="1"/>
    <col min="4359" max="4359" width="15.7109375" customWidth="1"/>
    <col min="4360" max="4360" width="14.7109375" customWidth="1"/>
    <col min="4361" max="4361" width="12.7109375" customWidth="1"/>
    <col min="4362" max="4362" width="7.7109375" customWidth="1"/>
    <col min="4363" max="4363" width="2.7109375" customWidth="1"/>
    <col min="4364" max="4364" width="5.7109375" customWidth="1"/>
    <col min="4609" max="4609" width="5.7109375" customWidth="1"/>
    <col min="4610" max="4610" width="10.7109375" customWidth="1"/>
    <col min="4611" max="4611" width="7.7109375" customWidth="1"/>
    <col min="4612" max="4612" width="6.7109375" customWidth="1"/>
    <col min="4613" max="4613" width="10.7109375" customWidth="1"/>
    <col min="4614" max="4614" width="44.7109375" customWidth="1"/>
    <col min="4615" max="4615" width="15.7109375" customWidth="1"/>
    <col min="4616" max="4616" width="14.7109375" customWidth="1"/>
    <col min="4617" max="4617" width="12.7109375" customWidth="1"/>
    <col min="4618" max="4618" width="7.7109375" customWidth="1"/>
    <col min="4619" max="4619" width="2.7109375" customWidth="1"/>
    <col min="4620" max="4620" width="5.7109375" customWidth="1"/>
    <col min="4865" max="4865" width="5.7109375" customWidth="1"/>
    <col min="4866" max="4866" width="10.7109375" customWidth="1"/>
    <col min="4867" max="4867" width="7.7109375" customWidth="1"/>
    <col min="4868" max="4868" width="6.7109375" customWidth="1"/>
    <col min="4869" max="4869" width="10.7109375" customWidth="1"/>
    <col min="4870" max="4870" width="44.7109375" customWidth="1"/>
    <col min="4871" max="4871" width="15.7109375" customWidth="1"/>
    <col min="4872" max="4872" width="14.7109375" customWidth="1"/>
    <col min="4873" max="4873" width="12.7109375" customWidth="1"/>
    <col min="4874" max="4874" width="7.7109375" customWidth="1"/>
    <col min="4875" max="4875" width="2.7109375" customWidth="1"/>
    <col min="4876" max="4876" width="5.7109375" customWidth="1"/>
    <col min="5121" max="5121" width="5.7109375" customWidth="1"/>
    <col min="5122" max="5122" width="10.7109375" customWidth="1"/>
    <col min="5123" max="5123" width="7.7109375" customWidth="1"/>
    <col min="5124" max="5124" width="6.7109375" customWidth="1"/>
    <col min="5125" max="5125" width="10.7109375" customWidth="1"/>
    <col min="5126" max="5126" width="44.7109375" customWidth="1"/>
    <col min="5127" max="5127" width="15.7109375" customWidth="1"/>
    <col min="5128" max="5128" width="14.7109375" customWidth="1"/>
    <col min="5129" max="5129" width="12.7109375" customWidth="1"/>
    <col min="5130" max="5130" width="7.7109375" customWidth="1"/>
    <col min="5131" max="5131" width="2.7109375" customWidth="1"/>
    <col min="5132" max="5132" width="5.7109375" customWidth="1"/>
    <col min="5377" max="5377" width="5.7109375" customWidth="1"/>
    <col min="5378" max="5378" width="10.7109375" customWidth="1"/>
    <col min="5379" max="5379" width="7.7109375" customWidth="1"/>
    <col min="5380" max="5380" width="6.7109375" customWidth="1"/>
    <col min="5381" max="5381" width="10.7109375" customWidth="1"/>
    <col min="5382" max="5382" width="44.7109375" customWidth="1"/>
    <col min="5383" max="5383" width="15.7109375" customWidth="1"/>
    <col min="5384" max="5384" width="14.7109375" customWidth="1"/>
    <col min="5385" max="5385" width="12.7109375" customWidth="1"/>
    <col min="5386" max="5386" width="7.7109375" customWidth="1"/>
    <col min="5387" max="5387" width="2.7109375" customWidth="1"/>
    <col min="5388" max="5388" width="5.7109375" customWidth="1"/>
    <col min="5633" max="5633" width="5.7109375" customWidth="1"/>
    <col min="5634" max="5634" width="10.7109375" customWidth="1"/>
    <col min="5635" max="5635" width="7.7109375" customWidth="1"/>
    <col min="5636" max="5636" width="6.7109375" customWidth="1"/>
    <col min="5637" max="5637" width="10.7109375" customWidth="1"/>
    <col min="5638" max="5638" width="44.7109375" customWidth="1"/>
    <col min="5639" max="5639" width="15.7109375" customWidth="1"/>
    <col min="5640" max="5640" width="14.7109375" customWidth="1"/>
    <col min="5641" max="5641" width="12.7109375" customWidth="1"/>
    <col min="5642" max="5642" width="7.7109375" customWidth="1"/>
    <col min="5643" max="5643" width="2.7109375" customWidth="1"/>
    <col min="5644" max="5644" width="5.7109375" customWidth="1"/>
    <col min="5889" max="5889" width="5.7109375" customWidth="1"/>
    <col min="5890" max="5890" width="10.7109375" customWidth="1"/>
    <col min="5891" max="5891" width="7.7109375" customWidth="1"/>
    <col min="5892" max="5892" width="6.7109375" customWidth="1"/>
    <col min="5893" max="5893" width="10.7109375" customWidth="1"/>
    <col min="5894" max="5894" width="44.7109375" customWidth="1"/>
    <col min="5895" max="5895" width="15.7109375" customWidth="1"/>
    <col min="5896" max="5896" width="14.7109375" customWidth="1"/>
    <col min="5897" max="5897" width="12.7109375" customWidth="1"/>
    <col min="5898" max="5898" width="7.7109375" customWidth="1"/>
    <col min="5899" max="5899" width="2.7109375" customWidth="1"/>
    <col min="5900" max="5900" width="5.7109375" customWidth="1"/>
    <col min="6145" max="6145" width="5.7109375" customWidth="1"/>
    <col min="6146" max="6146" width="10.7109375" customWidth="1"/>
    <col min="6147" max="6147" width="7.7109375" customWidth="1"/>
    <col min="6148" max="6148" width="6.7109375" customWidth="1"/>
    <col min="6149" max="6149" width="10.7109375" customWidth="1"/>
    <col min="6150" max="6150" width="44.7109375" customWidth="1"/>
    <col min="6151" max="6151" width="15.7109375" customWidth="1"/>
    <col min="6152" max="6152" width="14.7109375" customWidth="1"/>
    <col min="6153" max="6153" width="12.7109375" customWidth="1"/>
    <col min="6154" max="6154" width="7.7109375" customWidth="1"/>
    <col min="6155" max="6155" width="2.7109375" customWidth="1"/>
    <col min="6156" max="6156" width="5.7109375" customWidth="1"/>
    <col min="6401" max="6401" width="5.7109375" customWidth="1"/>
    <col min="6402" max="6402" width="10.7109375" customWidth="1"/>
    <col min="6403" max="6403" width="7.7109375" customWidth="1"/>
    <col min="6404" max="6404" width="6.7109375" customWidth="1"/>
    <col min="6405" max="6405" width="10.7109375" customWidth="1"/>
    <col min="6406" max="6406" width="44.7109375" customWidth="1"/>
    <col min="6407" max="6407" width="15.7109375" customWidth="1"/>
    <col min="6408" max="6408" width="14.7109375" customWidth="1"/>
    <col min="6409" max="6409" width="12.7109375" customWidth="1"/>
    <col min="6410" max="6410" width="7.7109375" customWidth="1"/>
    <col min="6411" max="6411" width="2.7109375" customWidth="1"/>
    <col min="6412" max="6412" width="5.7109375" customWidth="1"/>
    <col min="6657" max="6657" width="5.7109375" customWidth="1"/>
    <col min="6658" max="6658" width="10.7109375" customWidth="1"/>
    <col min="6659" max="6659" width="7.7109375" customWidth="1"/>
    <col min="6660" max="6660" width="6.7109375" customWidth="1"/>
    <col min="6661" max="6661" width="10.7109375" customWidth="1"/>
    <col min="6662" max="6662" width="44.7109375" customWidth="1"/>
    <col min="6663" max="6663" width="15.7109375" customWidth="1"/>
    <col min="6664" max="6664" width="14.7109375" customWidth="1"/>
    <col min="6665" max="6665" width="12.7109375" customWidth="1"/>
    <col min="6666" max="6666" width="7.7109375" customWidth="1"/>
    <col min="6667" max="6667" width="2.7109375" customWidth="1"/>
    <col min="6668" max="6668" width="5.7109375" customWidth="1"/>
    <col min="6913" max="6913" width="5.7109375" customWidth="1"/>
    <col min="6914" max="6914" width="10.7109375" customWidth="1"/>
    <col min="6915" max="6915" width="7.7109375" customWidth="1"/>
    <col min="6916" max="6916" width="6.7109375" customWidth="1"/>
    <col min="6917" max="6917" width="10.7109375" customWidth="1"/>
    <col min="6918" max="6918" width="44.7109375" customWidth="1"/>
    <col min="6919" max="6919" width="15.7109375" customWidth="1"/>
    <col min="6920" max="6920" width="14.7109375" customWidth="1"/>
    <col min="6921" max="6921" width="12.7109375" customWidth="1"/>
    <col min="6922" max="6922" width="7.7109375" customWidth="1"/>
    <col min="6923" max="6923" width="2.7109375" customWidth="1"/>
    <col min="6924" max="6924" width="5.7109375" customWidth="1"/>
    <col min="7169" max="7169" width="5.7109375" customWidth="1"/>
    <col min="7170" max="7170" width="10.7109375" customWidth="1"/>
    <col min="7171" max="7171" width="7.7109375" customWidth="1"/>
    <col min="7172" max="7172" width="6.7109375" customWidth="1"/>
    <col min="7173" max="7173" width="10.7109375" customWidth="1"/>
    <col min="7174" max="7174" width="44.7109375" customWidth="1"/>
    <col min="7175" max="7175" width="15.7109375" customWidth="1"/>
    <col min="7176" max="7176" width="14.7109375" customWidth="1"/>
    <col min="7177" max="7177" width="12.7109375" customWidth="1"/>
    <col min="7178" max="7178" width="7.7109375" customWidth="1"/>
    <col min="7179" max="7179" width="2.7109375" customWidth="1"/>
    <col min="7180" max="7180" width="5.7109375" customWidth="1"/>
    <col min="7425" max="7425" width="5.7109375" customWidth="1"/>
    <col min="7426" max="7426" width="10.7109375" customWidth="1"/>
    <col min="7427" max="7427" width="7.7109375" customWidth="1"/>
    <col min="7428" max="7428" width="6.7109375" customWidth="1"/>
    <col min="7429" max="7429" width="10.7109375" customWidth="1"/>
    <col min="7430" max="7430" width="44.7109375" customWidth="1"/>
    <col min="7431" max="7431" width="15.7109375" customWidth="1"/>
    <col min="7432" max="7432" width="14.7109375" customWidth="1"/>
    <col min="7433" max="7433" width="12.7109375" customWidth="1"/>
    <col min="7434" max="7434" width="7.7109375" customWidth="1"/>
    <col min="7435" max="7435" width="2.7109375" customWidth="1"/>
    <col min="7436" max="7436" width="5.7109375" customWidth="1"/>
    <col min="7681" max="7681" width="5.7109375" customWidth="1"/>
    <col min="7682" max="7682" width="10.7109375" customWidth="1"/>
    <col min="7683" max="7683" width="7.7109375" customWidth="1"/>
    <col min="7684" max="7684" width="6.7109375" customWidth="1"/>
    <col min="7685" max="7685" width="10.7109375" customWidth="1"/>
    <col min="7686" max="7686" width="44.7109375" customWidth="1"/>
    <col min="7687" max="7687" width="15.7109375" customWidth="1"/>
    <col min="7688" max="7688" width="14.7109375" customWidth="1"/>
    <col min="7689" max="7689" width="12.7109375" customWidth="1"/>
    <col min="7690" max="7690" width="7.7109375" customWidth="1"/>
    <col min="7691" max="7691" width="2.7109375" customWidth="1"/>
    <col min="7692" max="7692" width="5.7109375" customWidth="1"/>
    <col min="7937" max="7937" width="5.7109375" customWidth="1"/>
    <col min="7938" max="7938" width="10.7109375" customWidth="1"/>
    <col min="7939" max="7939" width="7.7109375" customWidth="1"/>
    <col min="7940" max="7940" width="6.7109375" customWidth="1"/>
    <col min="7941" max="7941" width="10.7109375" customWidth="1"/>
    <col min="7942" max="7942" width="44.7109375" customWidth="1"/>
    <col min="7943" max="7943" width="15.7109375" customWidth="1"/>
    <col min="7944" max="7944" width="14.7109375" customWidth="1"/>
    <col min="7945" max="7945" width="12.7109375" customWidth="1"/>
    <col min="7946" max="7946" width="7.7109375" customWidth="1"/>
    <col min="7947" max="7947" width="2.7109375" customWidth="1"/>
    <col min="7948" max="7948" width="5.7109375" customWidth="1"/>
    <col min="8193" max="8193" width="5.7109375" customWidth="1"/>
    <col min="8194" max="8194" width="10.7109375" customWidth="1"/>
    <col min="8195" max="8195" width="7.7109375" customWidth="1"/>
    <col min="8196" max="8196" width="6.7109375" customWidth="1"/>
    <col min="8197" max="8197" width="10.7109375" customWidth="1"/>
    <col min="8198" max="8198" width="44.7109375" customWidth="1"/>
    <col min="8199" max="8199" width="15.7109375" customWidth="1"/>
    <col min="8200" max="8200" width="14.7109375" customWidth="1"/>
    <col min="8201" max="8201" width="12.7109375" customWidth="1"/>
    <col min="8202" max="8202" width="7.7109375" customWidth="1"/>
    <col min="8203" max="8203" width="2.7109375" customWidth="1"/>
    <col min="8204" max="8204" width="5.7109375" customWidth="1"/>
    <col min="8449" max="8449" width="5.7109375" customWidth="1"/>
    <col min="8450" max="8450" width="10.7109375" customWidth="1"/>
    <col min="8451" max="8451" width="7.7109375" customWidth="1"/>
    <col min="8452" max="8452" width="6.7109375" customWidth="1"/>
    <col min="8453" max="8453" width="10.7109375" customWidth="1"/>
    <col min="8454" max="8454" width="44.7109375" customWidth="1"/>
    <col min="8455" max="8455" width="15.7109375" customWidth="1"/>
    <col min="8456" max="8456" width="14.7109375" customWidth="1"/>
    <col min="8457" max="8457" width="12.7109375" customWidth="1"/>
    <col min="8458" max="8458" width="7.7109375" customWidth="1"/>
    <col min="8459" max="8459" width="2.7109375" customWidth="1"/>
    <col min="8460" max="8460" width="5.7109375" customWidth="1"/>
    <col min="8705" max="8705" width="5.7109375" customWidth="1"/>
    <col min="8706" max="8706" width="10.7109375" customWidth="1"/>
    <col min="8707" max="8707" width="7.7109375" customWidth="1"/>
    <col min="8708" max="8708" width="6.7109375" customWidth="1"/>
    <col min="8709" max="8709" width="10.7109375" customWidth="1"/>
    <col min="8710" max="8710" width="44.7109375" customWidth="1"/>
    <col min="8711" max="8711" width="15.7109375" customWidth="1"/>
    <col min="8712" max="8712" width="14.7109375" customWidth="1"/>
    <col min="8713" max="8713" width="12.7109375" customWidth="1"/>
    <col min="8714" max="8714" width="7.7109375" customWidth="1"/>
    <col min="8715" max="8715" width="2.7109375" customWidth="1"/>
    <col min="8716" max="8716" width="5.7109375" customWidth="1"/>
    <col min="8961" max="8961" width="5.7109375" customWidth="1"/>
    <col min="8962" max="8962" width="10.7109375" customWidth="1"/>
    <col min="8963" max="8963" width="7.7109375" customWidth="1"/>
    <col min="8964" max="8964" width="6.7109375" customWidth="1"/>
    <col min="8965" max="8965" width="10.7109375" customWidth="1"/>
    <col min="8966" max="8966" width="44.7109375" customWidth="1"/>
    <col min="8967" max="8967" width="15.7109375" customWidth="1"/>
    <col min="8968" max="8968" width="14.7109375" customWidth="1"/>
    <col min="8969" max="8969" width="12.7109375" customWidth="1"/>
    <col min="8970" max="8970" width="7.7109375" customWidth="1"/>
    <col min="8971" max="8971" width="2.7109375" customWidth="1"/>
    <col min="8972" max="8972" width="5.7109375" customWidth="1"/>
    <col min="9217" max="9217" width="5.7109375" customWidth="1"/>
    <col min="9218" max="9218" width="10.7109375" customWidth="1"/>
    <col min="9219" max="9219" width="7.7109375" customWidth="1"/>
    <col min="9220" max="9220" width="6.7109375" customWidth="1"/>
    <col min="9221" max="9221" width="10.7109375" customWidth="1"/>
    <col min="9222" max="9222" width="44.7109375" customWidth="1"/>
    <col min="9223" max="9223" width="15.7109375" customWidth="1"/>
    <col min="9224" max="9224" width="14.7109375" customWidth="1"/>
    <col min="9225" max="9225" width="12.7109375" customWidth="1"/>
    <col min="9226" max="9226" width="7.7109375" customWidth="1"/>
    <col min="9227" max="9227" width="2.7109375" customWidth="1"/>
    <col min="9228" max="9228" width="5.7109375" customWidth="1"/>
    <col min="9473" max="9473" width="5.7109375" customWidth="1"/>
    <col min="9474" max="9474" width="10.7109375" customWidth="1"/>
    <col min="9475" max="9475" width="7.7109375" customWidth="1"/>
    <col min="9476" max="9476" width="6.7109375" customWidth="1"/>
    <col min="9477" max="9477" width="10.7109375" customWidth="1"/>
    <col min="9478" max="9478" width="44.7109375" customWidth="1"/>
    <col min="9479" max="9479" width="15.7109375" customWidth="1"/>
    <col min="9480" max="9480" width="14.7109375" customWidth="1"/>
    <col min="9481" max="9481" width="12.7109375" customWidth="1"/>
    <col min="9482" max="9482" width="7.7109375" customWidth="1"/>
    <col min="9483" max="9483" width="2.7109375" customWidth="1"/>
    <col min="9484" max="9484" width="5.7109375" customWidth="1"/>
    <col min="9729" max="9729" width="5.7109375" customWidth="1"/>
    <col min="9730" max="9730" width="10.7109375" customWidth="1"/>
    <col min="9731" max="9731" width="7.7109375" customWidth="1"/>
    <col min="9732" max="9732" width="6.7109375" customWidth="1"/>
    <col min="9733" max="9733" width="10.7109375" customWidth="1"/>
    <col min="9734" max="9734" width="44.7109375" customWidth="1"/>
    <col min="9735" max="9735" width="15.7109375" customWidth="1"/>
    <col min="9736" max="9736" width="14.7109375" customWidth="1"/>
    <col min="9737" max="9737" width="12.7109375" customWidth="1"/>
    <col min="9738" max="9738" width="7.7109375" customWidth="1"/>
    <col min="9739" max="9739" width="2.7109375" customWidth="1"/>
    <col min="9740" max="9740" width="5.7109375" customWidth="1"/>
    <col min="9985" max="9985" width="5.7109375" customWidth="1"/>
    <col min="9986" max="9986" width="10.7109375" customWidth="1"/>
    <col min="9987" max="9987" width="7.7109375" customWidth="1"/>
    <col min="9988" max="9988" width="6.7109375" customWidth="1"/>
    <col min="9989" max="9989" width="10.7109375" customWidth="1"/>
    <col min="9990" max="9990" width="44.7109375" customWidth="1"/>
    <col min="9991" max="9991" width="15.7109375" customWidth="1"/>
    <col min="9992" max="9992" width="14.7109375" customWidth="1"/>
    <col min="9993" max="9993" width="12.7109375" customWidth="1"/>
    <col min="9994" max="9994" width="7.7109375" customWidth="1"/>
    <col min="9995" max="9995" width="2.7109375" customWidth="1"/>
    <col min="9996" max="9996" width="5.7109375" customWidth="1"/>
    <col min="10241" max="10241" width="5.7109375" customWidth="1"/>
    <col min="10242" max="10242" width="10.7109375" customWidth="1"/>
    <col min="10243" max="10243" width="7.7109375" customWidth="1"/>
    <col min="10244" max="10244" width="6.7109375" customWidth="1"/>
    <col min="10245" max="10245" width="10.7109375" customWidth="1"/>
    <col min="10246" max="10246" width="44.7109375" customWidth="1"/>
    <col min="10247" max="10247" width="15.7109375" customWidth="1"/>
    <col min="10248" max="10248" width="14.7109375" customWidth="1"/>
    <col min="10249" max="10249" width="12.7109375" customWidth="1"/>
    <col min="10250" max="10250" width="7.7109375" customWidth="1"/>
    <col min="10251" max="10251" width="2.7109375" customWidth="1"/>
    <col min="10252" max="10252" width="5.7109375" customWidth="1"/>
    <col min="10497" max="10497" width="5.7109375" customWidth="1"/>
    <col min="10498" max="10498" width="10.7109375" customWidth="1"/>
    <col min="10499" max="10499" width="7.7109375" customWidth="1"/>
    <col min="10500" max="10500" width="6.7109375" customWidth="1"/>
    <col min="10501" max="10501" width="10.7109375" customWidth="1"/>
    <col min="10502" max="10502" width="44.7109375" customWidth="1"/>
    <col min="10503" max="10503" width="15.7109375" customWidth="1"/>
    <col min="10504" max="10504" width="14.7109375" customWidth="1"/>
    <col min="10505" max="10505" width="12.7109375" customWidth="1"/>
    <col min="10506" max="10506" width="7.7109375" customWidth="1"/>
    <col min="10507" max="10507" width="2.7109375" customWidth="1"/>
    <col min="10508" max="10508" width="5.7109375" customWidth="1"/>
    <col min="10753" max="10753" width="5.7109375" customWidth="1"/>
    <col min="10754" max="10754" width="10.7109375" customWidth="1"/>
    <col min="10755" max="10755" width="7.7109375" customWidth="1"/>
    <col min="10756" max="10756" width="6.7109375" customWidth="1"/>
    <col min="10757" max="10757" width="10.7109375" customWidth="1"/>
    <col min="10758" max="10758" width="44.7109375" customWidth="1"/>
    <col min="10759" max="10759" width="15.7109375" customWidth="1"/>
    <col min="10760" max="10760" width="14.7109375" customWidth="1"/>
    <col min="10761" max="10761" width="12.7109375" customWidth="1"/>
    <col min="10762" max="10762" width="7.7109375" customWidth="1"/>
    <col min="10763" max="10763" width="2.7109375" customWidth="1"/>
    <col min="10764" max="10764" width="5.7109375" customWidth="1"/>
    <col min="11009" max="11009" width="5.7109375" customWidth="1"/>
    <col min="11010" max="11010" width="10.7109375" customWidth="1"/>
    <col min="11011" max="11011" width="7.7109375" customWidth="1"/>
    <col min="11012" max="11012" width="6.7109375" customWidth="1"/>
    <col min="11013" max="11013" width="10.7109375" customWidth="1"/>
    <col min="11014" max="11014" width="44.7109375" customWidth="1"/>
    <col min="11015" max="11015" width="15.7109375" customWidth="1"/>
    <col min="11016" max="11016" width="14.7109375" customWidth="1"/>
    <col min="11017" max="11017" width="12.7109375" customWidth="1"/>
    <col min="11018" max="11018" width="7.7109375" customWidth="1"/>
    <col min="11019" max="11019" width="2.7109375" customWidth="1"/>
    <col min="11020" max="11020" width="5.7109375" customWidth="1"/>
    <col min="11265" max="11265" width="5.7109375" customWidth="1"/>
    <col min="11266" max="11266" width="10.7109375" customWidth="1"/>
    <col min="11267" max="11267" width="7.7109375" customWidth="1"/>
    <col min="11268" max="11268" width="6.7109375" customWidth="1"/>
    <col min="11269" max="11269" width="10.7109375" customWidth="1"/>
    <col min="11270" max="11270" width="44.7109375" customWidth="1"/>
    <col min="11271" max="11271" width="15.7109375" customWidth="1"/>
    <col min="11272" max="11272" width="14.7109375" customWidth="1"/>
    <col min="11273" max="11273" width="12.7109375" customWidth="1"/>
    <col min="11274" max="11274" width="7.7109375" customWidth="1"/>
    <col min="11275" max="11275" width="2.7109375" customWidth="1"/>
    <col min="11276" max="11276" width="5.7109375" customWidth="1"/>
    <col min="11521" max="11521" width="5.7109375" customWidth="1"/>
    <col min="11522" max="11522" width="10.7109375" customWidth="1"/>
    <col min="11523" max="11523" width="7.7109375" customWidth="1"/>
    <col min="11524" max="11524" width="6.7109375" customWidth="1"/>
    <col min="11525" max="11525" width="10.7109375" customWidth="1"/>
    <col min="11526" max="11526" width="44.7109375" customWidth="1"/>
    <col min="11527" max="11527" width="15.7109375" customWidth="1"/>
    <col min="11528" max="11528" width="14.7109375" customWidth="1"/>
    <col min="11529" max="11529" width="12.7109375" customWidth="1"/>
    <col min="11530" max="11530" width="7.7109375" customWidth="1"/>
    <col min="11531" max="11531" width="2.7109375" customWidth="1"/>
    <col min="11532" max="11532" width="5.7109375" customWidth="1"/>
    <col min="11777" max="11777" width="5.7109375" customWidth="1"/>
    <col min="11778" max="11778" width="10.7109375" customWidth="1"/>
    <col min="11779" max="11779" width="7.7109375" customWidth="1"/>
    <col min="11780" max="11780" width="6.7109375" customWidth="1"/>
    <col min="11781" max="11781" width="10.7109375" customWidth="1"/>
    <col min="11782" max="11782" width="44.7109375" customWidth="1"/>
    <col min="11783" max="11783" width="15.7109375" customWidth="1"/>
    <col min="11784" max="11784" width="14.7109375" customWidth="1"/>
    <col min="11785" max="11785" width="12.7109375" customWidth="1"/>
    <col min="11786" max="11786" width="7.7109375" customWidth="1"/>
    <col min="11787" max="11787" width="2.7109375" customWidth="1"/>
    <col min="11788" max="11788" width="5.7109375" customWidth="1"/>
    <col min="12033" max="12033" width="5.7109375" customWidth="1"/>
    <col min="12034" max="12034" width="10.7109375" customWidth="1"/>
    <col min="12035" max="12035" width="7.7109375" customWidth="1"/>
    <col min="12036" max="12036" width="6.7109375" customWidth="1"/>
    <col min="12037" max="12037" width="10.7109375" customWidth="1"/>
    <col min="12038" max="12038" width="44.7109375" customWidth="1"/>
    <col min="12039" max="12039" width="15.7109375" customWidth="1"/>
    <col min="12040" max="12040" width="14.7109375" customWidth="1"/>
    <col min="12041" max="12041" width="12.7109375" customWidth="1"/>
    <col min="12042" max="12042" width="7.7109375" customWidth="1"/>
    <col min="12043" max="12043" width="2.7109375" customWidth="1"/>
    <col min="12044" max="12044" width="5.7109375" customWidth="1"/>
    <col min="12289" max="12289" width="5.7109375" customWidth="1"/>
    <col min="12290" max="12290" width="10.7109375" customWidth="1"/>
    <col min="12291" max="12291" width="7.7109375" customWidth="1"/>
    <col min="12292" max="12292" width="6.7109375" customWidth="1"/>
    <col min="12293" max="12293" width="10.7109375" customWidth="1"/>
    <col min="12294" max="12294" width="44.7109375" customWidth="1"/>
    <col min="12295" max="12295" width="15.7109375" customWidth="1"/>
    <col min="12296" max="12296" width="14.7109375" customWidth="1"/>
    <col min="12297" max="12297" width="12.7109375" customWidth="1"/>
    <col min="12298" max="12298" width="7.7109375" customWidth="1"/>
    <col min="12299" max="12299" width="2.7109375" customWidth="1"/>
    <col min="12300" max="12300" width="5.7109375" customWidth="1"/>
    <col min="12545" max="12545" width="5.7109375" customWidth="1"/>
    <col min="12546" max="12546" width="10.7109375" customWidth="1"/>
    <col min="12547" max="12547" width="7.7109375" customWidth="1"/>
    <col min="12548" max="12548" width="6.7109375" customWidth="1"/>
    <col min="12549" max="12549" width="10.7109375" customWidth="1"/>
    <col min="12550" max="12550" width="44.7109375" customWidth="1"/>
    <col min="12551" max="12551" width="15.7109375" customWidth="1"/>
    <col min="12552" max="12552" width="14.7109375" customWidth="1"/>
    <col min="12553" max="12553" width="12.7109375" customWidth="1"/>
    <col min="12554" max="12554" width="7.7109375" customWidth="1"/>
    <col min="12555" max="12555" width="2.7109375" customWidth="1"/>
    <col min="12556" max="12556" width="5.7109375" customWidth="1"/>
    <col min="12801" max="12801" width="5.7109375" customWidth="1"/>
    <col min="12802" max="12802" width="10.7109375" customWidth="1"/>
    <col min="12803" max="12803" width="7.7109375" customWidth="1"/>
    <col min="12804" max="12804" width="6.7109375" customWidth="1"/>
    <col min="12805" max="12805" width="10.7109375" customWidth="1"/>
    <col min="12806" max="12806" width="44.7109375" customWidth="1"/>
    <col min="12807" max="12807" width="15.7109375" customWidth="1"/>
    <col min="12808" max="12808" width="14.7109375" customWidth="1"/>
    <col min="12809" max="12809" width="12.7109375" customWidth="1"/>
    <col min="12810" max="12810" width="7.7109375" customWidth="1"/>
    <col min="12811" max="12811" width="2.7109375" customWidth="1"/>
    <col min="12812" max="12812" width="5.7109375" customWidth="1"/>
    <col min="13057" max="13057" width="5.7109375" customWidth="1"/>
    <col min="13058" max="13058" width="10.7109375" customWidth="1"/>
    <col min="13059" max="13059" width="7.7109375" customWidth="1"/>
    <col min="13060" max="13060" width="6.7109375" customWidth="1"/>
    <col min="13061" max="13061" width="10.7109375" customWidth="1"/>
    <col min="13062" max="13062" width="44.7109375" customWidth="1"/>
    <col min="13063" max="13063" width="15.7109375" customWidth="1"/>
    <col min="13064" max="13064" width="14.7109375" customWidth="1"/>
    <col min="13065" max="13065" width="12.7109375" customWidth="1"/>
    <col min="13066" max="13066" width="7.7109375" customWidth="1"/>
    <col min="13067" max="13067" width="2.7109375" customWidth="1"/>
    <col min="13068" max="13068" width="5.7109375" customWidth="1"/>
    <col min="13313" max="13313" width="5.7109375" customWidth="1"/>
    <col min="13314" max="13314" width="10.7109375" customWidth="1"/>
    <col min="13315" max="13315" width="7.7109375" customWidth="1"/>
    <col min="13316" max="13316" width="6.7109375" customWidth="1"/>
    <col min="13317" max="13317" width="10.7109375" customWidth="1"/>
    <col min="13318" max="13318" width="44.7109375" customWidth="1"/>
    <col min="13319" max="13319" width="15.7109375" customWidth="1"/>
    <col min="13320" max="13320" width="14.7109375" customWidth="1"/>
    <col min="13321" max="13321" width="12.7109375" customWidth="1"/>
    <col min="13322" max="13322" width="7.7109375" customWidth="1"/>
    <col min="13323" max="13323" width="2.7109375" customWidth="1"/>
    <col min="13324" max="13324" width="5.7109375" customWidth="1"/>
    <col min="13569" max="13569" width="5.7109375" customWidth="1"/>
    <col min="13570" max="13570" width="10.7109375" customWidth="1"/>
    <col min="13571" max="13571" width="7.7109375" customWidth="1"/>
    <col min="13572" max="13572" width="6.7109375" customWidth="1"/>
    <col min="13573" max="13573" width="10.7109375" customWidth="1"/>
    <col min="13574" max="13574" width="44.7109375" customWidth="1"/>
    <col min="13575" max="13575" width="15.7109375" customWidth="1"/>
    <col min="13576" max="13576" width="14.7109375" customWidth="1"/>
    <col min="13577" max="13577" width="12.7109375" customWidth="1"/>
    <col min="13578" max="13578" width="7.7109375" customWidth="1"/>
    <col min="13579" max="13579" width="2.7109375" customWidth="1"/>
    <col min="13580" max="13580" width="5.7109375" customWidth="1"/>
    <col min="13825" max="13825" width="5.7109375" customWidth="1"/>
    <col min="13826" max="13826" width="10.7109375" customWidth="1"/>
    <col min="13827" max="13827" width="7.7109375" customWidth="1"/>
    <col min="13828" max="13828" width="6.7109375" customWidth="1"/>
    <col min="13829" max="13829" width="10.7109375" customWidth="1"/>
    <col min="13830" max="13830" width="44.7109375" customWidth="1"/>
    <col min="13831" max="13831" width="15.7109375" customWidth="1"/>
    <col min="13832" max="13832" width="14.7109375" customWidth="1"/>
    <col min="13833" max="13833" width="12.7109375" customWidth="1"/>
    <col min="13834" max="13834" width="7.7109375" customWidth="1"/>
    <col min="13835" max="13835" width="2.7109375" customWidth="1"/>
    <col min="13836" max="13836" width="5.7109375" customWidth="1"/>
    <col min="14081" max="14081" width="5.7109375" customWidth="1"/>
    <col min="14082" max="14082" width="10.7109375" customWidth="1"/>
    <col min="14083" max="14083" width="7.7109375" customWidth="1"/>
    <col min="14084" max="14084" width="6.7109375" customWidth="1"/>
    <col min="14085" max="14085" width="10.7109375" customWidth="1"/>
    <col min="14086" max="14086" width="44.7109375" customWidth="1"/>
    <col min="14087" max="14087" width="15.7109375" customWidth="1"/>
    <col min="14088" max="14088" width="14.7109375" customWidth="1"/>
    <col min="14089" max="14089" width="12.7109375" customWidth="1"/>
    <col min="14090" max="14090" width="7.7109375" customWidth="1"/>
    <col min="14091" max="14091" width="2.7109375" customWidth="1"/>
    <col min="14092" max="14092" width="5.7109375" customWidth="1"/>
    <col min="14337" max="14337" width="5.7109375" customWidth="1"/>
    <col min="14338" max="14338" width="10.7109375" customWidth="1"/>
    <col min="14339" max="14339" width="7.7109375" customWidth="1"/>
    <col min="14340" max="14340" width="6.7109375" customWidth="1"/>
    <col min="14341" max="14341" width="10.7109375" customWidth="1"/>
    <col min="14342" max="14342" width="44.7109375" customWidth="1"/>
    <col min="14343" max="14343" width="15.7109375" customWidth="1"/>
    <col min="14344" max="14344" width="14.7109375" customWidth="1"/>
    <col min="14345" max="14345" width="12.7109375" customWidth="1"/>
    <col min="14346" max="14346" width="7.7109375" customWidth="1"/>
    <col min="14347" max="14347" width="2.7109375" customWidth="1"/>
    <col min="14348" max="14348" width="5.7109375" customWidth="1"/>
    <col min="14593" max="14593" width="5.7109375" customWidth="1"/>
    <col min="14594" max="14594" width="10.7109375" customWidth="1"/>
    <col min="14595" max="14595" width="7.7109375" customWidth="1"/>
    <col min="14596" max="14596" width="6.7109375" customWidth="1"/>
    <col min="14597" max="14597" width="10.7109375" customWidth="1"/>
    <col min="14598" max="14598" width="44.7109375" customWidth="1"/>
    <col min="14599" max="14599" width="15.7109375" customWidth="1"/>
    <col min="14600" max="14600" width="14.7109375" customWidth="1"/>
    <col min="14601" max="14601" width="12.7109375" customWidth="1"/>
    <col min="14602" max="14602" width="7.7109375" customWidth="1"/>
    <col min="14603" max="14603" width="2.7109375" customWidth="1"/>
    <col min="14604" max="14604" width="5.7109375" customWidth="1"/>
    <col min="14849" max="14849" width="5.7109375" customWidth="1"/>
    <col min="14850" max="14850" width="10.7109375" customWidth="1"/>
    <col min="14851" max="14851" width="7.7109375" customWidth="1"/>
    <col min="14852" max="14852" width="6.7109375" customWidth="1"/>
    <col min="14853" max="14853" width="10.7109375" customWidth="1"/>
    <col min="14854" max="14854" width="44.7109375" customWidth="1"/>
    <col min="14855" max="14855" width="15.7109375" customWidth="1"/>
    <col min="14856" max="14856" width="14.7109375" customWidth="1"/>
    <col min="14857" max="14857" width="12.7109375" customWidth="1"/>
    <col min="14858" max="14858" width="7.7109375" customWidth="1"/>
    <col min="14859" max="14859" width="2.7109375" customWidth="1"/>
    <col min="14860" max="14860" width="5.7109375" customWidth="1"/>
    <col min="15105" max="15105" width="5.7109375" customWidth="1"/>
    <col min="15106" max="15106" width="10.7109375" customWidth="1"/>
    <col min="15107" max="15107" width="7.7109375" customWidth="1"/>
    <col min="15108" max="15108" width="6.7109375" customWidth="1"/>
    <col min="15109" max="15109" width="10.7109375" customWidth="1"/>
    <col min="15110" max="15110" width="44.7109375" customWidth="1"/>
    <col min="15111" max="15111" width="15.7109375" customWidth="1"/>
    <col min="15112" max="15112" width="14.7109375" customWidth="1"/>
    <col min="15113" max="15113" width="12.7109375" customWidth="1"/>
    <col min="15114" max="15114" width="7.7109375" customWidth="1"/>
    <col min="15115" max="15115" width="2.7109375" customWidth="1"/>
    <col min="15116" max="15116" width="5.7109375" customWidth="1"/>
    <col min="15361" max="15361" width="5.7109375" customWidth="1"/>
    <col min="15362" max="15362" width="10.7109375" customWidth="1"/>
    <col min="15363" max="15363" width="7.7109375" customWidth="1"/>
    <col min="15364" max="15364" width="6.7109375" customWidth="1"/>
    <col min="15365" max="15365" width="10.7109375" customWidth="1"/>
    <col min="15366" max="15366" width="44.7109375" customWidth="1"/>
    <col min="15367" max="15367" width="15.7109375" customWidth="1"/>
    <col min="15368" max="15368" width="14.7109375" customWidth="1"/>
    <col min="15369" max="15369" width="12.7109375" customWidth="1"/>
    <col min="15370" max="15370" width="7.7109375" customWidth="1"/>
    <col min="15371" max="15371" width="2.7109375" customWidth="1"/>
    <col min="15372" max="15372" width="5.7109375" customWidth="1"/>
    <col min="15617" max="15617" width="5.7109375" customWidth="1"/>
    <col min="15618" max="15618" width="10.7109375" customWidth="1"/>
    <col min="15619" max="15619" width="7.7109375" customWidth="1"/>
    <col min="15620" max="15620" width="6.7109375" customWidth="1"/>
    <col min="15621" max="15621" width="10.7109375" customWidth="1"/>
    <col min="15622" max="15622" width="44.7109375" customWidth="1"/>
    <col min="15623" max="15623" width="15.7109375" customWidth="1"/>
    <col min="15624" max="15624" width="14.7109375" customWidth="1"/>
    <col min="15625" max="15625" width="12.7109375" customWidth="1"/>
    <col min="15626" max="15626" width="7.7109375" customWidth="1"/>
    <col min="15627" max="15627" width="2.7109375" customWidth="1"/>
    <col min="15628" max="15628" width="5.7109375" customWidth="1"/>
    <col min="15873" max="15873" width="5.7109375" customWidth="1"/>
    <col min="15874" max="15874" width="10.7109375" customWidth="1"/>
    <col min="15875" max="15875" width="7.7109375" customWidth="1"/>
    <col min="15876" max="15876" width="6.7109375" customWidth="1"/>
    <col min="15877" max="15877" width="10.7109375" customWidth="1"/>
    <col min="15878" max="15878" width="44.7109375" customWidth="1"/>
    <col min="15879" max="15879" width="15.7109375" customWidth="1"/>
    <col min="15880" max="15880" width="14.7109375" customWidth="1"/>
    <col min="15881" max="15881" width="12.7109375" customWidth="1"/>
    <col min="15882" max="15882" width="7.7109375" customWidth="1"/>
    <col min="15883" max="15883" width="2.7109375" customWidth="1"/>
    <col min="15884" max="15884" width="5.7109375" customWidth="1"/>
    <col min="16129" max="16129" width="5.7109375" customWidth="1"/>
    <col min="16130" max="16130" width="10.7109375" customWidth="1"/>
    <col min="16131" max="16131" width="7.7109375" customWidth="1"/>
    <col min="16132" max="16132" width="6.7109375" customWidth="1"/>
    <col min="16133" max="16133" width="10.7109375" customWidth="1"/>
    <col min="16134" max="16134" width="44.7109375" customWidth="1"/>
    <col min="16135" max="16135" width="15.7109375" customWidth="1"/>
    <col min="16136" max="16136" width="14.7109375" customWidth="1"/>
    <col min="16137" max="16137" width="12.7109375" customWidth="1"/>
    <col min="16138" max="16138" width="7.7109375" customWidth="1"/>
    <col min="16139" max="16139" width="2.7109375" customWidth="1"/>
    <col min="16140" max="16140" width="5.7109375" customWidth="1"/>
  </cols>
  <sheetData>
    <row r="1" spans="1:12" x14ac:dyDescent="0.2">
      <c r="A1" s="452" t="s">
        <v>767</v>
      </c>
      <c r="B1" s="452" t="s">
        <v>768</v>
      </c>
      <c r="C1" s="452" t="s">
        <v>769</v>
      </c>
      <c r="D1" s="452" t="s">
        <v>770</v>
      </c>
      <c r="E1" s="452" t="s">
        <v>771</v>
      </c>
      <c r="F1" s="452" t="s">
        <v>423</v>
      </c>
      <c r="G1" s="452" t="s">
        <v>772</v>
      </c>
      <c r="H1" s="452" t="s">
        <v>773</v>
      </c>
      <c r="I1" s="452" t="s">
        <v>774</v>
      </c>
      <c r="J1" s="452" t="s">
        <v>775</v>
      </c>
      <c r="K1" s="452" t="s">
        <v>776</v>
      </c>
      <c r="L1" s="452" t="s">
        <v>777</v>
      </c>
    </row>
    <row r="2" spans="1:12" x14ac:dyDescent="0.2">
      <c r="A2" s="453" t="s">
        <v>778</v>
      </c>
      <c r="B2" s="453" t="s">
        <v>778</v>
      </c>
      <c r="C2" s="453" t="s">
        <v>779</v>
      </c>
      <c r="D2" s="453" t="s">
        <v>780</v>
      </c>
      <c r="E2" s="453" t="s">
        <v>781</v>
      </c>
      <c r="F2" s="454" t="s">
        <v>782</v>
      </c>
      <c r="G2" s="455">
        <v>-752456472.36000001</v>
      </c>
      <c r="H2" s="455">
        <v>-2428301102.7600002</v>
      </c>
      <c r="I2" s="455">
        <v>1675844630.4000001</v>
      </c>
      <c r="J2" s="453" t="s">
        <v>783</v>
      </c>
      <c r="K2" s="453" t="s">
        <v>778</v>
      </c>
      <c r="L2" s="453" t="s">
        <v>164</v>
      </c>
    </row>
    <row r="3" spans="1:12" x14ac:dyDescent="0.2">
      <c r="A3" s="456" t="s">
        <v>778</v>
      </c>
      <c r="B3" s="456" t="s">
        <v>778</v>
      </c>
      <c r="C3" s="456" t="s">
        <v>779</v>
      </c>
      <c r="D3" s="456" t="s">
        <v>784</v>
      </c>
      <c r="E3" s="456" t="s">
        <v>785</v>
      </c>
      <c r="F3" s="457" t="s">
        <v>786</v>
      </c>
      <c r="G3" s="458">
        <v>-947303.64</v>
      </c>
      <c r="H3" s="458">
        <v>-3856069.02</v>
      </c>
      <c r="I3" s="458">
        <v>2908765.38</v>
      </c>
      <c r="J3" s="456" t="s">
        <v>787</v>
      </c>
      <c r="K3" s="456" t="s">
        <v>778</v>
      </c>
      <c r="L3" s="456" t="s">
        <v>164</v>
      </c>
    </row>
    <row r="4" spans="1:12" x14ac:dyDescent="0.2">
      <c r="A4" s="456" t="s">
        <v>778</v>
      </c>
      <c r="B4" s="456" t="s">
        <v>778</v>
      </c>
      <c r="C4" s="456" t="s">
        <v>779</v>
      </c>
      <c r="D4" s="456" t="s">
        <v>784</v>
      </c>
      <c r="E4" s="456" t="s">
        <v>788</v>
      </c>
      <c r="F4" s="457" t="s">
        <v>789</v>
      </c>
      <c r="G4" s="458">
        <v>18314006.890000001</v>
      </c>
      <c r="H4" s="458">
        <v>8381165.8499999996</v>
      </c>
      <c r="I4" s="458">
        <v>9932841.0399999991</v>
      </c>
      <c r="J4" s="456" t="s">
        <v>790</v>
      </c>
      <c r="K4" s="456" t="s">
        <v>778</v>
      </c>
      <c r="L4" s="456" t="s">
        <v>164</v>
      </c>
    </row>
    <row r="5" spans="1:12" x14ac:dyDescent="0.2">
      <c r="A5" s="456" t="s">
        <v>778</v>
      </c>
      <c r="B5" s="456" t="s">
        <v>778</v>
      </c>
      <c r="C5" s="456" t="s">
        <v>779</v>
      </c>
      <c r="D5" s="456" t="s">
        <v>784</v>
      </c>
      <c r="E5" s="456" t="s">
        <v>791</v>
      </c>
      <c r="F5" s="457" t="s">
        <v>792</v>
      </c>
      <c r="G5" s="458">
        <v>-18314007.010000002</v>
      </c>
      <c r="H5" s="458">
        <v>-26966828.460000001</v>
      </c>
      <c r="I5" s="458">
        <v>8652821.4499999993</v>
      </c>
      <c r="J5" s="456" t="s">
        <v>793</v>
      </c>
      <c r="K5" s="456" t="s">
        <v>778</v>
      </c>
      <c r="L5" s="456" t="s">
        <v>164</v>
      </c>
    </row>
    <row r="6" spans="1:12" x14ac:dyDescent="0.2">
      <c r="A6" s="459" t="s">
        <v>794</v>
      </c>
      <c r="B6" s="459" t="s">
        <v>778</v>
      </c>
      <c r="C6" s="459" t="s">
        <v>299</v>
      </c>
      <c r="D6" s="459" t="s">
        <v>299</v>
      </c>
      <c r="E6" s="459" t="s">
        <v>299</v>
      </c>
      <c r="F6" s="457" t="s">
        <v>795</v>
      </c>
      <c r="G6" s="460">
        <v>-753403776.12</v>
      </c>
      <c r="H6" s="460">
        <v>-2450742834.3899999</v>
      </c>
      <c r="I6" s="460">
        <v>1697339058.27</v>
      </c>
      <c r="J6" s="459" t="s">
        <v>796</v>
      </c>
      <c r="K6" s="459" t="s">
        <v>778</v>
      </c>
      <c r="L6" s="459" t="s">
        <v>164</v>
      </c>
    </row>
    <row r="7" spans="1:12" x14ac:dyDescent="0.2">
      <c r="A7" s="456" t="s">
        <v>778</v>
      </c>
      <c r="B7" s="456" t="s">
        <v>797</v>
      </c>
      <c r="C7" s="456" t="s">
        <v>779</v>
      </c>
      <c r="D7" s="456" t="s">
        <v>780</v>
      </c>
      <c r="E7" s="456" t="s">
        <v>798</v>
      </c>
      <c r="F7" s="457" t="s">
        <v>799</v>
      </c>
      <c r="G7" s="458">
        <v>-321622236.38</v>
      </c>
      <c r="H7" s="458">
        <v>-33578888.939999998</v>
      </c>
      <c r="I7" s="458">
        <v>-288043347.44</v>
      </c>
      <c r="J7" s="456" t="s">
        <v>800</v>
      </c>
      <c r="K7" s="456" t="s">
        <v>778</v>
      </c>
      <c r="L7" s="456" t="s">
        <v>164</v>
      </c>
    </row>
    <row r="8" spans="1:12" x14ac:dyDescent="0.2">
      <c r="A8" s="456" t="s">
        <v>778</v>
      </c>
      <c r="B8" s="456" t="s">
        <v>797</v>
      </c>
      <c r="C8" s="456" t="s">
        <v>779</v>
      </c>
      <c r="D8" s="456" t="s">
        <v>801</v>
      </c>
      <c r="E8" s="456" t="s">
        <v>802</v>
      </c>
      <c r="F8" s="457" t="s">
        <v>803</v>
      </c>
      <c r="G8" s="458">
        <v>321622236.38</v>
      </c>
      <c r="H8" s="461">
        <v>0</v>
      </c>
      <c r="I8" s="458">
        <v>321622236.38</v>
      </c>
      <c r="J8" s="456" t="s">
        <v>299</v>
      </c>
      <c r="K8" s="456" t="s">
        <v>778</v>
      </c>
      <c r="L8" s="456" t="s">
        <v>164</v>
      </c>
    </row>
    <row r="9" spans="1:12" x14ac:dyDescent="0.2">
      <c r="A9" s="456" t="s">
        <v>778</v>
      </c>
      <c r="B9" s="456" t="s">
        <v>797</v>
      </c>
      <c r="C9" s="456" t="s">
        <v>780</v>
      </c>
      <c r="D9" s="456" t="s">
        <v>780</v>
      </c>
      <c r="E9" s="456" t="s">
        <v>804</v>
      </c>
      <c r="F9" s="457" t="s">
        <v>805</v>
      </c>
      <c r="G9" s="458">
        <v>-333206266.52999997</v>
      </c>
      <c r="H9" s="461">
        <v>0.03</v>
      </c>
      <c r="I9" s="458">
        <v>-333206266.56</v>
      </c>
      <c r="J9" s="456" t="s">
        <v>806</v>
      </c>
      <c r="K9" s="456" t="s">
        <v>778</v>
      </c>
      <c r="L9" s="456" t="s">
        <v>164</v>
      </c>
    </row>
    <row r="10" spans="1:12" x14ac:dyDescent="0.2">
      <c r="A10" s="456" t="s">
        <v>778</v>
      </c>
      <c r="B10" s="456" t="s">
        <v>797</v>
      </c>
      <c r="C10" s="456" t="s">
        <v>779</v>
      </c>
      <c r="D10" s="456" t="s">
        <v>801</v>
      </c>
      <c r="E10" s="456" t="s">
        <v>807</v>
      </c>
      <c r="F10" s="457" t="s">
        <v>808</v>
      </c>
      <c r="G10" s="458">
        <v>333206266.44</v>
      </c>
      <c r="H10" s="461">
        <v>0</v>
      </c>
      <c r="I10" s="458">
        <v>333206266.44</v>
      </c>
      <c r="J10" s="456" t="s">
        <v>299</v>
      </c>
      <c r="K10" s="456" t="s">
        <v>778</v>
      </c>
      <c r="L10" s="456" t="s">
        <v>164</v>
      </c>
    </row>
    <row r="11" spans="1:12" x14ac:dyDescent="0.2">
      <c r="A11" s="459" t="s">
        <v>794</v>
      </c>
      <c r="B11" s="459" t="s">
        <v>797</v>
      </c>
      <c r="C11" s="459" t="s">
        <v>299</v>
      </c>
      <c r="D11" s="459" t="s">
        <v>299</v>
      </c>
      <c r="E11" s="459" t="s">
        <v>299</v>
      </c>
      <c r="F11" s="457" t="s">
        <v>809</v>
      </c>
      <c r="G11" s="462">
        <v>-0.09</v>
      </c>
      <c r="H11" s="460">
        <v>-33578888.909999996</v>
      </c>
      <c r="I11" s="460">
        <v>33578888.82</v>
      </c>
      <c r="J11" s="459" t="s">
        <v>810</v>
      </c>
      <c r="K11" s="459" t="s">
        <v>778</v>
      </c>
      <c r="L11" s="459" t="s">
        <v>164</v>
      </c>
    </row>
    <row r="12" spans="1:12" x14ac:dyDescent="0.2">
      <c r="A12" s="456" t="s">
        <v>778</v>
      </c>
      <c r="B12" s="456" t="s">
        <v>811</v>
      </c>
      <c r="C12" s="456" t="s">
        <v>779</v>
      </c>
      <c r="D12" s="456" t="s">
        <v>784</v>
      </c>
      <c r="E12" s="456" t="s">
        <v>812</v>
      </c>
      <c r="F12" s="457" t="s">
        <v>813</v>
      </c>
      <c r="G12" s="458">
        <v>-1771331.51</v>
      </c>
      <c r="H12" s="458">
        <v>-6697243.4199999999</v>
      </c>
      <c r="I12" s="458">
        <v>4925911.91</v>
      </c>
      <c r="J12" s="456" t="s">
        <v>814</v>
      </c>
      <c r="K12" s="456" t="s">
        <v>778</v>
      </c>
      <c r="L12" s="456" t="s">
        <v>164</v>
      </c>
    </row>
    <row r="13" spans="1:12" x14ac:dyDescent="0.2">
      <c r="A13" s="456" t="s">
        <v>778</v>
      </c>
      <c r="B13" s="456" t="s">
        <v>811</v>
      </c>
      <c r="C13" s="456" t="s">
        <v>779</v>
      </c>
      <c r="D13" s="456" t="s">
        <v>784</v>
      </c>
      <c r="E13" s="456" t="s">
        <v>815</v>
      </c>
      <c r="F13" s="457" t="s">
        <v>816</v>
      </c>
      <c r="G13" s="458">
        <v>-54842.73</v>
      </c>
      <c r="H13" s="458">
        <v>-362039.74</v>
      </c>
      <c r="I13" s="458">
        <v>307197.01</v>
      </c>
      <c r="J13" s="456" t="s">
        <v>817</v>
      </c>
      <c r="K13" s="456" t="s">
        <v>778</v>
      </c>
      <c r="L13" s="456" t="s">
        <v>164</v>
      </c>
    </row>
    <row r="14" spans="1:12" x14ac:dyDescent="0.2">
      <c r="A14" s="456" t="s">
        <v>778</v>
      </c>
      <c r="B14" s="456" t="s">
        <v>811</v>
      </c>
      <c r="C14" s="456" t="s">
        <v>779</v>
      </c>
      <c r="D14" s="456" t="s">
        <v>784</v>
      </c>
      <c r="E14" s="456" t="s">
        <v>818</v>
      </c>
      <c r="F14" s="457" t="s">
        <v>819</v>
      </c>
      <c r="G14" s="458">
        <v>-161529.14000000001</v>
      </c>
      <c r="H14" s="458">
        <v>-779214.96</v>
      </c>
      <c r="I14" s="458">
        <v>617685.81999999995</v>
      </c>
      <c r="J14" s="456" t="s">
        <v>820</v>
      </c>
      <c r="K14" s="456" t="s">
        <v>778</v>
      </c>
      <c r="L14" s="456" t="s">
        <v>164</v>
      </c>
    </row>
    <row r="15" spans="1:12" x14ac:dyDescent="0.2">
      <c r="A15" s="456" t="s">
        <v>778</v>
      </c>
      <c r="B15" s="456" t="s">
        <v>811</v>
      </c>
      <c r="C15" s="456" t="s">
        <v>779</v>
      </c>
      <c r="D15" s="456" t="s">
        <v>784</v>
      </c>
      <c r="E15" s="456" t="s">
        <v>821</v>
      </c>
      <c r="F15" s="457" t="s">
        <v>822</v>
      </c>
      <c r="G15" s="458">
        <v>-313689.92</v>
      </c>
      <c r="H15" s="458">
        <v>-694889.95</v>
      </c>
      <c r="I15" s="458">
        <v>381200.03</v>
      </c>
      <c r="J15" s="456" t="s">
        <v>823</v>
      </c>
      <c r="K15" s="456" t="s">
        <v>778</v>
      </c>
      <c r="L15" s="456" t="s">
        <v>164</v>
      </c>
    </row>
    <row r="16" spans="1:12" x14ac:dyDescent="0.2">
      <c r="A16" s="456" t="s">
        <v>778</v>
      </c>
      <c r="B16" s="456" t="s">
        <v>811</v>
      </c>
      <c r="C16" s="456" t="s">
        <v>779</v>
      </c>
      <c r="D16" s="456" t="s">
        <v>784</v>
      </c>
      <c r="E16" s="456" t="s">
        <v>824</v>
      </c>
      <c r="F16" s="457" t="s">
        <v>825</v>
      </c>
      <c r="G16" s="461">
        <v>0</v>
      </c>
      <c r="H16" s="458">
        <v>165768.64000000001</v>
      </c>
      <c r="I16" s="458">
        <v>-165768.64000000001</v>
      </c>
      <c r="J16" s="456" t="s">
        <v>826</v>
      </c>
      <c r="K16" s="456" t="s">
        <v>778</v>
      </c>
      <c r="L16" s="456" t="s">
        <v>164</v>
      </c>
    </row>
    <row r="17" spans="1:12" x14ac:dyDescent="0.2">
      <c r="A17" s="456" t="s">
        <v>778</v>
      </c>
      <c r="B17" s="456" t="s">
        <v>811</v>
      </c>
      <c r="C17" s="456" t="s">
        <v>779</v>
      </c>
      <c r="D17" s="456" t="s">
        <v>784</v>
      </c>
      <c r="E17" s="456" t="s">
        <v>827</v>
      </c>
      <c r="F17" s="457" t="s">
        <v>828</v>
      </c>
      <c r="G17" s="458">
        <v>-1484712.74</v>
      </c>
      <c r="H17" s="458">
        <v>-9938143.6500000004</v>
      </c>
      <c r="I17" s="458">
        <v>8453430.9100000001</v>
      </c>
      <c r="J17" s="456" t="s">
        <v>829</v>
      </c>
      <c r="K17" s="456" t="s">
        <v>778</v>
      </c>
      <c r="L17" s="456" t="s">
        <v>164</v>
      </c>
    </row>
    <row r="18" spans="1:12" x14ac:dyDescent="0.2">
      <c r="A18" s="456" t="s">
        <v>778</v>
      </c>
      <c r="B18" s="456" t="s">
        <v>811</v>
      </c>
      <c r="C18" s="456" t="s">
        <v>779</v>
      </c>
      <c r="D18" s="456" t="s">
        <v>780</v>
      </c>
      <c r="E18" s="456" t="s">
        <v>830</v>
      </c>
      <c r="F18" s="457" t="s">
        <v>831</v>
      </c>
      <c r="G18" s="458">
        <v>53991221.479999997</v>
      </c>
      <c r="H18" s="458">
        <v>125217831.95</v>
      </c>
      <c r="I18" s="458">
        <v>-71226610.469999999</v>
      </c>
      <c r="J18" s="456" t="s">
        <v>832</v>
      </c>
      <c r="K18" s="456" t="s">
        <v>778</v>
      </c>
      <c r="L18" s="456" t="s">
        <v>164</v>
      </c>
    </row>
    <row r="19" spans="1:12" x14ac:dyDescent="0.2">
      <c r="A19" s="456" t="s">
        <v>778</v>
      </c>
      <c r="B19" s="456" t="s">
        <v>811</v>
      </c>
      <c r="C19" s="456" t="s">
        <v>779</v>
      </c>
      <c r="D19" s="456" t="s">
        <v>784</v>
      </c>
      <c r="E19" s="456" t="s">
        <v>833</v>
      </c>
      <c r="F19" s="457" t="s">
        <v>834</v>
      </c>
      <c r="G19" s="461">
        <v>0</v>
      </c>
      <c r="H19" s="458">
        <v>77261</v>
      </c>
      <c r="I19" s="458">
        <v>-77261</v>
      </c>
      <c r="J19" s="456" t="s">
        <v>826</v>
      </c>
      <c r="K19" s="456" t="s">
        <v>778</v>
      </c>
      <c r="L19" s="456" t="s">
        <v>164</v>
      </c>
    </row>
    <row r="20" spans="1:12" x14ac:dyDescent="0.2">
      <c r="A20" s="456" t="s">
        <v>778</v>
      </c>
      <c r="B20" s="456" t="s">
        <v>811</v>
      </c>
      <c r="C20" s="456" t="s">
        <v>779</v>
      </c>
      <c r="D20" s="456" t="s">
        <v>784</v>
      </c>
      <c r="E20" s="456" t="s">
        <v>835</v>
      </c>
      <c r="F20" s="457" t="s">
        <v>836</v>
      </c>
      <c r="G20" s="461">
        <v>0</v>
      </c>
      <c r="H20" s="458">
        <v>77261</v>
      </c>
      <c r="I20" s="458">
        <v>-77261</v>
      </c>
      <c r="J20" s="456" t="s">
        <v>826</v>
      </c>
      <c r="K20" s="456" t="s">
        <v>778</v>
      </c>
      <c r="L20" s="456" t="s">
        <v>164</v>
      </c>
    </row>
    <row r="21" spans="1:12" x14ac:dyDescent="0.2">
      <c r="A21" s="456" t="s">
        <v>778</v>
      </c>
      <c r="B21" s="456" t="s">
        <v>811</v>
      </c>
      <c r="C21" s="456" t="s">
        <v>779</v>
      </c>
      <c r="D21" s="456" t="s">
        <v>784</v>
      </c>
      <c r="E21" s="456" t="s">
        <v>837</v>
      </c>
      <c r="F21" s="457" t="s">
        <v>838</v>
      </c>
      <c r="G21" s="458">
        <v>1699877.32</v>
      </c>
      <c r="H21" s="458">
        <v>4443159.7300000004</v>
      </c>
      <c r="I21" s="458">
        <v>-2743282.41</v>
      </c>
      <c r="J21" s="456" t="s">
        <v>839</v>
      </c>
      <c r="K21" s="456" t="s">
        <v>778</v>
      </c>
      <c r="L21" s="456" t="s">
        <v>164</v>
      </c>
    </row>
    <row r="22" spans="1:12" x14ac:dyDescent="0.2">
      <c r="A22" s="459" t="s">
        <v>794</v>
      </c>
      <c r="B22" s="459" t="s">
        <v>811</v>
      </c>
      <c r="C22" s="459" t="s">
        <v>299</v>
      </c>
      <c r="D22" s="459" t="s">
        <v>299</v>
      </c>
      <c r="E22" s="459" t="s">
        <v>299</v>
      </c>
      <c r="F22" s="457" t="s">
        <v>840</v>
      </c>
      <c r="G22" s="460">
        <v>51904992.759999998</v>
      </c>
      <c r="H22" s="460">
        <v>111509750.59999999</v>
      </c>
      <c r="I22" s="460">
        <v>-59604757.840000004</v>
      </c>
      <c r="J22" s="459" t="s">
        <v>841</v>
      </c>
      <c r="K22" s="459" t="s">
        <v>778</v>
      </c>
      <c r="L22" s="459" t="s">
        <v>164</v>
      </c>
    </row>
    <row r="23" spans="1:12" x14ac:dyDescent="0.2">
      <c r="A23" s="456" t="s">
        <v>778</v>
      </c>
      <c r="B23" s="456" t="s">
        <v>842</v>
      </c>
      <c r="C23" s="456" t="s">
        <v>779</v>
      </c>
      <c r="D23" s="456" t="s">
        <v>843</v>
      </c>
      <c r="E23" s="456" t="s">
        <v>844</v>
      </c>
      <c r="F23" s="457" t="s">
        <v>845</v>
      </c>
      <c r="G23" s="458">
        <v>4368263.49</v>
      </c>
      <c r="H23" s="458">
        <v>25315640.780000001</v>
      </c>
      <c r="I23" s="458">
        <v>-20947377.289999999</v>
      </c>
      <c r="J23" s="456" t="s">
        <v>846</v>
      </c>
      <c r="K23" s="456" t="s">
        <v>778</v>
      </c>
      <c r="L23" s="456" t="s">
        <v>164</v>
      </c>
    </row>
    <row r="24" spans="1:12" x14ac:dyDescent="0.2">
      <c r="A24" s="459" t="s">
        <v>794</v>
      </c>
      <c r="B24" s="459" t="s">
        <v>842</v>
      </c>
      <c r="C24" s="459" t="s">
        <v>299</v>
      </c>
      <c r="D24" s="459" t="s">
        <v>299</v>
      </c>
      <c r="E24" s="459" t="s">
        <v>299</v>
      </c>
      <c r="F24" s="457" t="s">
        <v>847</v>
      </c>
      <c r="G24" s="460">
        <v>4368263.49</v>
      </c>
      <c r="H24" s="460">
        <v>25315640.780000001</v>
      </c>
      <c r="I24" s="460">
        <v>-20947377.289999999</v>
      </c>
      <c r="J24" s="459" t="s">
        <v>846</v>
      </c>
      <c r="K24" s="459" t="s">
        <v>778</v>
      </c>
      <c r="L24" s="459" t="s">
        <v>164</v>
      </c>
    </row>
    <row r="25" spans="1:12" x14ac:dyDescent="0.2">
      <c r="A25" s="459" t="s">
        <v>848</v>
      </c>
      <c r="B25" s="459" t="s">
        <v>849</v>
      </c>
      <c r="C25" s="459" t="s">
        <v>299</v>
      </c>
      <c r="D25" s="459" t="s">
        <v>299</v>
      </c>
      <c r="E25" s="459" t="s">
        <v>299</v>
      </c>
      <c r="F25" s="457" t="s">
        <v>850</v>
      </c>
      <c r="G25" s="460">
        <v>-697130519.96000004</v>
      </c>
      <c r="H25" s="460">
        <v>-2347496331.9200001</v>
      </c>
      <c r="I25" s="460">
        <v>1650365811.96</v>
      </c>
      <c r="J25" s="459" t="s">
        <v>851</v>
      </c>
      <c r="K25" s="459" t="s">
        <v>778</v>
      </c>
      <c r="L25" s="459" t="s">
        <v>164</v>
      </c>
    </row>
    <row r="26" spans="1:12" x14ac:dyDescent="0.2">
      <c r="A26" s="456" t="s">
        <v>778</v>
      </c>
      <c r="B26" s="456" t="s">
        <v>852</v>
      </c>
      <c r="C26" s="456" t="s">
        <v>779</v>
      </c>
      <c r="D26" s="456" t="s">
        <v>780</v>
      </c>
      <c r="E26" s="456" t="s">
        <v>853</v>
      </c>
      <c r="F26" s="457" t="s">
        <v>854</v>
      </c>
      <c r="G26" s="458">
        <v>28044838.5</v>
      </c>
      <c r="H26" s="458">
        <v>69425108.079999998</v>
      </c>
      <c r="I26" s="458">
        <v>-41380269.579999998</v>
      </c>
      <c r="J26" s="456" t="s">
        <v>855</v>
      </c>
      <c r="K26" s="456" t="s">
        <v>778</v>
      </c>
      <c r="L26" s="456" t="s">
        <v>164</v>
      </c>
    </row>
    <row r="27" spans="1:12" x14ac:dyDescent="0.2">
      <c r="A27" s="456" t="s">
        <v>778</v>
      </c>
      <c r="B27" s="456" t="s">
        <v>852</v>
      </c>
      <c r="C27" s="456" t="s">
        <v>779</v>
      </c>
      <c r="D27" s="456" t="s">
        <v>784</v>
      </c>
      <c r="E27" s="456" t="s">
        <v>856</v>
      </c>
      <c r="F27" s="457" t="s">
        <v>857</v>
      </c>
      <c r="G27" s="458">
        <v>5908102.2599999998</v>
      </c>
      <c r="H27" s="458">
        <v>6542641.1200000001</v>
      </c>
      <c r="I27" s="458">
        <v>-634538.86</v>
      </c>
      <c r="J27" s="456" t="s">
        <v>858</v>
      </c>
      <c r="K27" s="456" t="s">
        <v>778</v>
      </c>
      <c r="L27" s="456" t="s">
        <v>164</v>
      </c>
    </row>
    <row r="28" spans="1:12" x14ac:dyDescent="0.2">
      <c r="A28" s="456" t="s">
        <v>778</v>
      </c>
      <c r="B28" s="456" t="s">
        <v>852</v>
      </c>
      <c r="C28" s="456" t="s">
        <v>779</v>
      </c>
      <c r="D28" s="456" t="s">
        <v>843</v>
      </c>
      <c r="E28" s="456" t="s">
        <v>859</v>
      </c>
      <c r="F28" s="457" t="s">
        <v>860</v>
      </c>
      <c r="G28" s="458">
        <v>3637945.12</v>
      </c>
      <c r="H28" s="458">
        <v>7357942.4199999999</v>
      </c>
      <c r="I28" s="458">
        <v>-3719997.3</v>
      </c>
      <c r="J28" s="456" t="s">
        <v>861</v>
      </c>
      <c r="K28" s="456" t="s">
        <v>778</v>
      </c>
      <c r="L28" s="456" t="s">
        <v>164</v>
      </c>
    </row>
    <row r="29" spans="1:12" x14ac:dyDescent="0.2">
      <c r="A29" s="456" t="s">
        <v>778</v>
      </c>
      <c r="B29" s="456" t="s">
        <v>852</v>
      </c>
      <c r="C29" s="456" t="s">
        <v>779</v>
      </c>
      <c r="D29" s="456" t="s">
        <v>843</v>
      </c>
      <c r="E29" s="456" t="s">
        <v>862</v>
      </c>
      <c r="F29" s="457" t="s">
        <v>863</v>
      </c>
      <c r="G29" s="458">
        <v>11296943.83</v>
      </c>
      <c r="H29" s="458">
        <v>41355417.799999997</v>
      </c>
      <c r="I29" s="458">
        <v>-30058473.969999999</v>
      </c>
      <c r="J29" s="456" t="s">
        <v>864</v>
      </c>
      <c r="K29" s="456" t="s">
        <v>778</v>
      </c>
      <c r="L29" s="456" t="s">
        <v>164</v>
      </c>
    </row>
    <row r="30" spans="1:12" x14ac:dyDescent="0.2">
      <c r="A30" s="456" t="s">
        <v>778</v>
      </c>
      <c r="B30" s="456" t="s">
        <v>852</v>
      </c>
      <c r="C30" s="456" t="s">
        <v>779</v>
      </c>
      <c r="D30" s="456" t="s">
        <v>843</v>
      </c>
      <c r="E30" s="456" t="s">
        <v>865</v>
      </c>
      <c r="F30" s="457" t="s">
        <v>866</v>
      </c>
      <c r="G30" s="458">
        <v>1312.58</v>
      </c>
      <c r="H30" s="458">
        <v>493647.76</v>
      </c>
      <c r="I30" s="458">
        <v>-492335.18</v>
      </c>
      <c r="J30" s="456" t="s">
        <v>867</v>
      </c>
      <c r="K30" s="456" t="s">
        <v>778</v>
      </c>
      <c r="L30" s="456" t="s">
        <v>164</v>
      </c>
    </row>
    <row r="31" spans="1:12" x14ac:dyDescent="0.2">
      <c r="A31" s="456" t="s">
        <v>778</v>
      </c>
      <c r="B31" s="456" t="s">
        <v>852</v>
      </c>
      <c r="C31" s="456" t="s">
        <v>779</v>
      </c>
      <c r="D31" s="456" t="s">
        <v>780</v>
      </c>
      <c r="E31" s="456" t="s">
        <v>868</v>
      </c>
      <c r="F31" s="457" t="s">
        <v>869</v>
      </c>
      <c r="G31" s="458">
        <v>-1895314.56</v>
      </c>
      <c r="H31" s="458">
        <v>-321639.36</v>
      </c>
      <c r="I31" s="458">
        <v>-1573675.2</v>
      </c>
      <c r="J31" s="456" t="s">
        <v>870</v>
      </c>
      <c r="K31" s="456" t="s">
        <v>778</v>
      </c>
      <c r="L31" s="456" t="s">
        <v>164</v>
      </c>
    </row>
    <row r="32" spans="1:12" x14ac:dyDescent="0.2">
      <c r="A32" s="456" t="s">
        <v>778</v>
      </c>
      <c r="B32" s="456" t="s">
        <v>852</v>
      </c>
      <c r="C32" s="456" t="s">
        <v>779</v>
      </c>
      <c r="D32" s="456" t="s">
        <v>843</v>
      </c>
      <c r="E32" s="456" t="s">
        <v>871</v>
      </c>
      <c r="F32" s="457" t="s">
        <v>872</v>
      </c>
      <c r="G32" s="458">
        <v>2373275.2400000002</v>
      </c>
      <c r="H32" s="458">
        <v>3627493.67</v>
      </c>
      <c r="I32" s="458">
        <v>-1254218.43</v>
      </c>
      <c r="J32" s="456" t="s">
        <v>873</v>
      </c>
      <c r="K32" s="456" t="s">
        <v>778</v>
      </c>
      <c r="L32" s="456" t="s">
        <v>164</v>
      </c>
    </row>
    <row r="33" spans="1:12" x14ac:dyDescent="0.2">
      <c r="A33" s="456" t="s">
        <v>778</v>
      </c>
      <c r="B33" s="456" t="s">
        <v>852</v>
      </c>
      <c r="C33" s="456" t="s">
        <v>779</v>
      </c>
      <c r="D33" s="456" t="s">
        <v>784</v>
      </c>
      <c r="E33" s="456" t="s">
        <v>874</v>
      </c>
      <c r="F33" s="457" t="s">
        <v>875</v>
      </c>
      <c r="G33" s="458">
        <v>89601.1</v>
      </c>
      <c r="H33" s="458">
        <v>429283.03</v>
      </c>
      <c r="I33" s="458">
        <v>-339681.93</v>
      </c>
      <c r="J33" s="456" t="s">
        <v>876</v>
      </c>
      <c r="K33" s="456" t="s">
        <v>778</v>
      </c>
      <c r="L33" s="456" t="s">
        <v>164</v>
      </c>
    </row>
    <row r="34" spans="1:12" x14ac:dyDescent="0.2">
      <c r="A34" s="456" t="s">
        <v>778</v>
      </c>
      <c r="B34" s="456" t="s">
        <v>852</v>
      </c>
      <c r="C34" s="456" t="s">
        <v>779</v>
      </c>
      <c r="D34" s="456" t="s">
        <v>784</v>
      </c>
      <c r="E34" s="456" t="s">
        <v>877</v>
      </c>
      <c r="F34" s="457" t="s">
        <v>878</v>
      </c>
      <c r="G34" s="461">
        <v>-0.24</v>
      </c>
      <c r="H34" s="461">
        <v>0</v>
      </c>
      <c r="I34" s="461">
        <v>-0.24</v>
      </c>
      <c r="J34" s="456" t="s">
        <v>299</v>
      </c>
      <c r="K34" s="456" t="s">
        <v>778</v>
      </c>
      <c r="L34" s="456" t="s">
        <v>164</v>
      </c>
    </row>
    <row r="35" spans="1:12" x14ac:dyDescent="0.2">
      <c r="A35" s="456" t="s">
        <v>778</v>
      </c>
      <c r="B35" s="456" t="s">
        <v>852</v>
      </c>
      <c r="C35" s="456" t="s">
        <v>779</v>
      </c>
      <c r="D35" s="456" t="s">
        <v>784</v>
      </c>
      <c r="E35" s="456" t="s">
        <v>879</v>
      </c>
      <c r="F35" s="457" t="s">
        <v>880</v>
      </c>
      <c r="G35" s="458">
        <v>10055.27</v>
      </c>
      <c r="H35" s="458">
        <v>75207.92</v>
      </c>
      <c r="I35" s="458">
        <v>-65152.65</v>
      </c>
      <c r="J35" s="456" t="s">
        <v>881</v>
      </c>
      <c r="K35" s="456" t="s">
        <v>778</v>
      </c>
      <c r="L35" s="456" t="s">
        <v>164</v>
      </c>
    </row>
    <row r="36" spans="1:12" x14ac:dyDescent="0.2">
      <c r="A36" s="459" t="s">
        <v>794</v>
      </c>
      <c r="B36" s="459" t="s">
        <v>852</v>
      </c>
      <c r="C36" s="459" t="s">
        <v>299</v>
      </c>
      <c r="D36" s="459" t="s">
        <v>299</v>
      </c>
      <c r="E36" s="459" t="s">
        <v>299</v>
      </c>
      <c r="F36" s="457" t="s">
        <v>882</v>
      </c>
      <c r="G36" s="460">
        <v>49466759.100000001</v>
      </c>
      <c r="H36" s="460">
        <v>128985102.44</v>
      </c>
      <c r="I36" s="460">
        <v>-79518343.340000004</v>
      </c>
      <c r="J36" s="459" t="s">
        <v>883</v>
      </c>
      <c r="K36" s="459" t="s">
        <v>778</v>
      </c>
      <c r="L36" s="459" t="s">
        <v>164</v>
      </c>
    </row>
    <row r="37" spans="1:12" x14ac:dyDescent="0.2">
      <c r="A37" s="456" t="s">
        <v>884</v>
      </c>
      <c r="B37" s="456" t="s">
        <v>885</v>
      </c>
      <c r="C37" s="456" t="s">
        <v>779</v>
      </c>
      <c r="D37" s="456" t="s">
        <v>780</v>
      </c>
      <c r="E37" s="456" t="s">
        <v>886</v>
      </c>
      <c r="F37" s="457" t="s">
        <v>887</v>
      </c>
      <c r="G37" s="458">
        <v>9489574.3000000007</v>
      </c>
      <c r="H37" s="458">
        <v>12444152.08</v>
      </c>
      <c r="I37" s="458">
        <v>-2954577.78</v>
      </c>
      <c r="J37" s="456" t="s">
        <v>888</v>
      </c>
      <c r="K37" s="456" t="s">
        <v>778</v>
      </c>
      <c r="L37" s="456" t="s">
        <v>164</v>
      </c>
    </row>
    <row r="38" spans="1:12" x14ac:dyDescent="0.2">
      <c r="A38" s="456" t="s">
        <v>884</v>
      </c>
      <c r="B38" s="456" t="s">
        <v>885</v>
      </c>
      <c r="C38" s="456" t="s">
        <v>779</v>
      </c>
      <c r="D38" s="456" t="s">
        <v>780</v>
      </c>
      <c r="E38" s="456" t="s">
        <v>889</v>
      </c>
      <c r="F38" s="457" t="s">
        <v>890</v>
      </c>
      <c r="G38" s="458">
        <v>969652510.21000004</v>
      </c>
      <c r="H38" s="458">
        <v>1175247608.5799999</v>
      </c>
      <c r="I38" s="458">
        <v>-205595098.37</v>
      </c>
      <c r="J38" s="456" t="s">
        <v>891</v>
      </c>
      <c r="K38" s="456" t="s">
        <v>778</v>
      </c>
      <c r="L38" s="456" t="s">
        <v>164</v>
      </c>
    </row>
    <row r="39" spans="1:12" x14ac:dyDescent="0.2">
      <c r="A39" s="456" t="s">
        <v>884</v>
      </c>
      <c r="B39" s="456" t="s">
        <v>885</v>
      </c>
      <c r="C39" s="456" t="s">
        <v>779</v>
      </c>
      <c r="D39" s="456" t="s">
        <v>780</v>
      </c>
      <c r="E39" s="456" t="s">
        <v>892</v>
      </c>
      <c r="F39" s="457" t="s">
        <v>893</v>
      </c>
      <c r="G39" s="458">
        <v>3746907.41</v>
      </c>
      <c r="H39" s="458">
        <v>5433449.1699999999</v>
      </c>
      <c r="I39" s="458">
        <v>-1686541.76</v>
      </c>
      <c r="J39" s="456" t="s">
        <v>894</v>
      </c>
      <c r="K39" s="456" t="s">
        <v>778</v>
      </c>
      <c r="L39" s="456" t="s">
        <v>164</v>
      </c>
    </row>
    <row r="40" spans="1:12" x14ac:dyDescent="0.2">
      <c r="A40" s="456" t="s">
        <v>884</v>
      </c>
      <c r="B40" s="456" t="s">
        <v>885</v>
      </c>
      <c r="C40" s="456" t="s">
        <v>779</v>
      </c>
      <c r="D40" s="456" t="s">
        <v>784</v>
      </c>
      <c r="E40" s="456" t="s">
        <v>895</v>
      </c>
      <c r="F40" s="457" t="s">
        <v>896</v>
      </c>
      <c r="G40" s="458">
        <v>133374.89000000001</v>
      </c>
      <c r="H40" s="458">
        <v>577482.52</v>
      </c>
      <c r="I40" s="458">
        <v>-444107.63</v>
      </c>
      <c r="J40" s="456" t="s">
        <v>897</v>
      </c>
      <c r="K40" s="456" t="s">
        <v>778</v>
      </c>
      <c r="L40" s="456" t="s">
        <v>164</v>
      </c>
    </row>
    <row r="41" spans="1:12" x14ac:dyDescent="0.2">
      <c r="A41" s="456" t="s">
        <v>884</v>
      </c>
      <c r="B41" s="456" t="s">
        <v>885</v>
      </c>
      <c r="C41" s="456" t="s">
        <v>779</v>
      </c>
      <c r="D41" s="456" t="s">
        <v>784</v>
      </c>
      <c r="E41" s="456" t="s">
        <v>898</v>
      </c>
      <c r="F41" s="457" t="s">
        <v>899</v>
      </c>
      <c r="G41" s="458">
        <v>2554236.1800000002</v>
      </c>
      <c r="H41" s="458">
        <v>8579627.4000000004</v>
      </c>
      <c r="I41" s="458">
        <v>-6025391.2199999997</v>
      </c>
      <c r="J41" s="456" t="s">
        <v>900</v>
      </c>
      <c r="K41" s="456" t="s">
        <v>778</v>
      </c>
      <c r="L41" s="456" t="s">
        <v>164</v>
      </c>
    </row>
    <row r="42" spans="1:12" x14ac:dyDescent="0.2">
      <c r="A42" s="456" t="s">
        <v>884</v>
      </c>
      <c r="B42" s="456" t="s">
        <v>885</v>
      </c>
      <c r="C42" s="456" t="s">
        <v>779</v>
      </c>
      <c r="D42" s="456" t="s">
        <v>784</v>
      </c>
      <c r="E42" s="456" t="s">
        <v>901</v>
      </c>
      <c r="F42" s="457" t="s">
        <v>902</v>
      </c>
      <c r="G42" s="458">
        <v>434702.72</v>
      </c>
      <c r="H42" s="458">
        <v>1099823.1100000001</v>
      </c>
      <c r="I42" s="458">
        <v>-665120.39</v>
      </c>
      <c r="J42" s="456" t="s">
        <v>903</v>
      </c>
      <c r="K42" s="456" t="s">
        <v>778</v>
      </c>
      <c r="L42" s="456" t="s">
        <v>164</v>
      </c>
    </row>
    <row r="43" spans="1:12" x14ac:dyDescent="0.2">
      <c r="A43" s="456" t="s">
        <v>884</v>
      </c>
      <c r="B43" s="456" t="s">
        <v>885</v>
      </c>
      <c r="C43" s="456" t="s">
        <v>779</v>
      </c>
      <c r="D43" s="456" t="s">
        <v>780</v>
      </c>
      <c r="E43" s="456" t="s">
        <v>904</v>
      </c>
      <c r="F43" s="457" t="s">
        <v>905</v>
      </c>
      <c r="G43" s="458">
        <v>167993.34</v>
      </c>
      <c r="H43" s="458">
        <v>469193.11</v>
      </c>
      <c r="I43" s="458">
        <v>-301199.77</v>
      </c>
      <c r="J43" s="456" t="s">
        <v>906</v>
      </c>
      <c r="K43" s="456" t="s">
        <v>778</v>
      </c>
      <c r="L43" s="456" t="s">
        <v>164</v>
      </c>
    </row>
    <row r="44" spans="1:12" x14ac:dyDescent="0.2">
      <c r="A44" s="456" t="s">
        <v>884</v>
      </c>
      <c r="B44" s="456" t="s">
        <v>885</v>
      </c>
      <c r="C44" s="456" t="s">
        <v>779</v>
      </c>
      <c r="D44" s="456" t="s">
        <v>784</v>
      </c>
      <c r="E44" s="456" t="s">
        <v>907</v>
      </c>
      <c r="F44" s="457" t="s">
        <v>908</v>
      </c>
      <c r="G44" s="458">
        <v>13090</v>
      </c>
      <c r="H44" s="458">
        <v>180938</v>
      </c>
      <c r="I44" s="458">
        <v>-167848</v>
      </c>
      <c r="J44" s="456" t="s">
        <v>909</v>
      </c>
      <c r="K44" s="456" t="s">
        <v>778</v>
      </c>
      <c r="L44" s="456" t="s">
        <v>164</v>
      </c>
    </row>
    <row r="45" spans="1:12" x14ac:dyDescent="0.2">
      <c r="A45" s="456" t="s">
        <v>884</v>
      </c>
      <c r="B45" s="456" t="s">
        <v>885</v>
      </c>
      <c r="C45" s="456" t="s">
        <v>779</v>
      </c>
      <c r="D45" s="456" t="s">
        <v>784</v>
      </c>
      <c r="E45" s="456" t="s">
        <v>910</v>
      </c>
      <c r="F45" s="457" t="s">
        <v>911</v>
      </c>
      <c r="G45" s="458">
        <v>1951.63</v>
      </c>
      <c r="H45" s="458">
        <v>-2748.43</v>
      </c>
      <c r="I45" s="458">
        <v>4700.0600000000004</v>
      </c>
      <c r="J45" s="456" t="s">
        <v>912</v>
      </c>
      <c r="K45" s="456" t="s">
        <v>778</v>
      </c>
      <c r="L45" s="456" t="s">
        <v>164</v>
      </c>
    </row>
    <row r="46" spans="1:12" x14ac:dyDescent="0.2">
      <c r="A46" s="456" t="s">
        <v>884</v>
      </c>
      <c r="B46" s="456" t="s">
        <v>885</v>
      </c>
      <c r="C46" s="456" t="s">
        <v>779</v>
      </c>
      <c r="D46" s="456" t="s">
        <v>784</v>
      </c>
      <c r="E46" s="456" t="s">
        <v>913</v>
      </c>
      <c r="F46" s="457" t="s">
        <v>914</v>
      </c>
      <c r="G46" s="458">
        <v>987011.8</v>
      </c>
      <c r="H46" s="458">
        <v>2073789.42</v>
      </c>
      <c r="I46" s="458">
        <v>-1086777.6200000001</v>
      </c>
      <c r="J46" s="456" t="s">
        <v>915</v>
      </c>
      <c r="K46" s="456" t="s">
        <v>778</v>
      </c>
      <c r="L46" s="456" t="s">
        <v>164</v>
      </c>
    </row>
    <row r="47" spans="1:12" x14ac:dyDescent="0.2">
      <c r="A47" s="456" t="s">
        <v>884</v>
      </c>
      <c r="B47" s="456" t="s">
        <v>885</v>
      </c>
      <c r="C47" s="456" t="s">
        <v>780</v>
      </c>
      <c r="D47" s="456" t="s">
        <v>780</v>
      </c>
      <c r="E47" s="456" t="s">
        <v>916</v>
      </c>
      <c r="F47" s="457" t="s">
        <v>917</v>
      </c>
      <c r="G47" s="458">
        <v>-606710969.58000004</v>
      </c>
      <c r="H47" s="458">
        <v>-264796823.09</v>
      </c>
      <c r="I47" s="458">
        <v>-341914146.49000001</v>
      </c>
      <c r="J47" s="456" t="s">
        <v>918</v>
      </c>
      <c r="K47" s="456" t="s">
        <v>778</v>
      </c>
      <c r="L47" s="456" t="s">
        <v>164</v>
      </c>
    </row>
    <row r="48" spans="1:12" x14ac:dyDescent="0.2">
      <c r="A48" s="456" t="s">
        <v>884</v>
      </c>
      <c r="B48" s="456" t="s">
        <v>885</v>
      </c>
      <c r="C48" s="456" t="s">
        <v>779</v>
      </c>
      <c r="D48" s="456" t="s">
        <v>784</v>
      </c>
      <c r="E48" s="456" t="s">
        <v>919</v>
      </c>
      <c r="F48" s="457" t="s">
        <v>920</v>
      </c>
      <c r="G48" s="458">
        <v>-2188734.85</v>
      </c>
      <c r="H48" s="458">
        <v>-6695662.3399999999</v>
      </c>
      <c r="I48" s="458">
        <v>4506927.49</v>
      </c>
      <c r="J48" s="456" t="s">
        <v>921</v>
      </c>
      <c r="K48" s="456" t="s">
        <v>778</v>
      </c>
      <c r="L48" s="456" t="s">
        <v>164</v>
      </c>
    </row>
    <row r="49" spans="1:12" x14ac:dyDescent="0.2">
      <c r="A49" s="459" t="s">
        <v>778</v>
      </c>
      <c r="B49" s="459" t="s">
        <v>885</v>
      </c>
      <c r="C49" s="459" t="s">
        <v>299</v>
      </c>
      <c r="D49" s="459" t="s">
        <v>299</v>
      </c>
      <c r="E49" s="459" t="s">
        <v>299</v>
      </c>
      <c r="F49" s="457" t="s">
        <v>922</v>
      </c>
      <c r="G49" s="460">
        <v>378281648.05000001</v>
      </c>
      <c r="H49" s="460">
        <v>934610829.52999997</v>
      </c>
      <c r="I49" s="460">
        <v>-556329181.48000002</v>
      </c>
      <c r="J49" s="459" t="s">
        <v>923</v>
      </c>
      <c r="K49" s="459" t="s">
        <v>778</v>
      </c>
      <c r="L49" s="459" t="s">
        <v>164</v>
      </c>
    </row>
    <row r="50" spans="1:12" x14ac:dyDescent="0.2">
      <c r="A50" s="459" t="s">
        <v>794</v>
      </c>
      <c r="B50" s="459" t="s">
        <v>924</v>
      </c>
      <c r="C50" s="459" t="s">
        <v>299</v>
      </c>
      <c r="D50" s="459" t="s">
        <v>299</v>
      </c>
      <c r="E50" s="459" t="s">
        <v>299</v>
      </c>
      <c r="F50" s="457" t="s">
        <v>925</v>
      </c>
      <c r="G50" s="460">
        <v>378281648.05000001</v>
      </c>
      <c r="H50" s="460">
        <v>934610829.52999997</v>
      </c>
      <c r="I50" s="460">
        <v>-556329181.48000002</v>
      </c>
      <c r="J50" s="459" t="s">
        <v>923</v>
      </c>
      <c r="K50" s="459" t="s">
        <v>778</v>
      </c>
      <c r="L50" s="459" t="s">
        <v>164</v>
      </c>
    </row>
    <row r="51" spans="1:12" x14ac:dyDescent="0.2">
      <c r="A51" s="456" t="s">
        <v>778</v>
      </c>
      <c r="B51" s="456" t="s">
        <v>926</v>
      </c>
      <c r="C51" s="456" t="s">
        <v>779</v>
      </c>
      <c r="D51" s="456" t="s">
        <v>784</v>
      </c>
      <c r="E51" s="456" t="s">
        <v>927</v>
      </c>
      <c r="F51" s="457" t="s">
        <v>928</v>
      </c>
      <c r="G51" s="458">
        <v>221310.89</v>
      </c>
      <c r="H51" s="458">
        <v>5166697.18</v>
      </c>
      <c r="I51" s="458">
        <v>-4945386.29</v>
      </c>
      <c r="J51" s="456" t="s">
        <v>929</v>
      </c>
      <c r="K51" s="456" t="s">
        <v>778</v>
      </c>
      <c r="L51" s="456" t="s">
        <v>164</v>
      </c>
    </row>
    <row r="52" spans="1:12" x14ac:dyDescent="0.2">
      <c r="A52" s="456" t="s">
        <v>778</v>
      </c>
      <c r="B52" s="456" t="s">
        <v>926</v>
      </c>
      <c r="C52" s="456" t="s">
        <v>779</v>
      </c>
      <c r="D52" s="456" t="s">
        <v>784</v>
      </c>
      <c r="E52" s="456" t="s">
        <v>930</v>
      </c>
      <c r="F52" s="457" t="s">
        <v>931</v>
      </c>
      <c r="G52" s="458">
        <v>57070.55</v>
      </c>
      <c r="H52" s="458">
        <v>118405.86</v>
      </c>
      <c r="I52" s="458">
        <v>-61335.31</v>
      </c>
      <c r="J52" s="456" t="s">
        <v>932</v>
      </c>
      <c r="K52" s="456" t="s">
        <v>778</v>
      </c>
      <c r="L52" s="456" t="s">
        <v>164</v>
      </c>
    </row>
    <row r="53" spans="1:12" x14ac:dyDescent="0.2">
      <c r="A53" s="456" t="s">
        <v>778</v>
      </c>
      <c r="B53" s="456" t="s">
        <v>926</v>
      </c>
      <c r="C53" s="456" t="s">
        <v>779</v>
      </c>
      <c r="D53" s="456" t="s">
        <v>784</v>
      </c>
      <c r="E53" s="456" t="s">
        <v>933</v>
      </c>
      <c r="F53" s="457" t="s">
        <v>934</v>
      </c>
      <c r="G53" s="458">
        <v>12745.68</v>
      </c>
      <c r="H53" s="458">
        <v>1994332.14</v>
      </c>
      <c r="I53" s="458">
        <v>-1981586.46</v>
      </c>
      <c r="J53" s="456" t="s">
        <v>935</v>
      </c>
      <c r="K53" s="456" t="s">
        <v>778</v>
      </c>
      <c r="L53" s="456" t="s">
        <v>164</v>
      </c>
    </row>
    <row r="54" spans="1:12" x14ac:dyDescent="0.2">
      <c r="A54" s="456" t="s">
        <v>778</v>
      </c>
      <c r="B54" s="456" t="s">
        <v>926</v>
      </c>
      <c r="C54" s="456" t="s">
        <v>779</v>
      </c>
      <c r="D54" s="456" t="s">
        <v>784</v>
      </c>
      <c r="E54" s="456" t="s">
        <v>936</v>
      </c>
      <c r="F54" s="457" t="s">
        <v>937</v>
      </c>
      <c r="G54" s="461">
        <v>0</v>
      </c>
      <c r="H54" s="458">
        <v>-3583.71</v>
      </c>
      <c r="I54" s="458">
        <v>3583.71</v>
      </c>
      <c r="J54" s="456" t="s">
        <v>810</v>
      </c>
      <c r="K54" s="456" t="s">
        <v>778</v>
      </c>
      <c r="L54" s="456" t="s">
        <v>164</v>
      </c>
    </row>
    <row r="55" spans="1:12" x14ac:dyDescent="0.2">
      <c r="A55" s="456" t="s">
        <v>778</v>
      </c>
      <c r="B55" s="456" t="s">
        <v>926</v>
      </c>
      <c r="C55" s="456" t="s">
        <v>779</v>
      </c>
      <c r="D55" s="456" t="s">
        <v>784</v>
      </c>
      <c r="E55" s="456" t="s">
        <v>938</v>
      </c>
      <c r="F55" s="457" t="s">
        <v>939</v>
      </c>
      <c r="G55" s="458">
        <v>2388325.35</v>
      </c>
      <c r="H55" s="458">
        <v>5286846.4000000004</v>
      </c>
      <c r="I55" s="458">
        <v>-2898521.05</v>
      </c>
      <c r="J55" s="456" t="s">
        <v>940</v>
      </c>
      <c r="K55" s="456" t="s">
        <v>778</v>
      </c>
      <c r="L55" s="456" t="s">
        <v>164</v>
      </c>
    </row>
    <row r="56" spans="1:12" x14ac:dyDescent="0.2">
      <c r="A56" s="456" t="s">
        <v>778</v>
      </c>
      <c r="B56" s="456" t="s">
        <v>926</v>
      </c>
      <c r="C56" s="456" t="s">
        <v>779</v>
      </c>
      <c r="D56" s="456" t="s">
        <v>784</v>
      </c>
      <c r="E56" s="456" t="s">
        <v>941</v>
      </c>
      <c r="F56" s="457" t="s">
        <v>942</v>
      </c>
      <c r="G56" s="458">
        <v>194912.5</v>
      </c>
      <c r="H56" s="458">
        <v>944468.27</v>
      </c>
      <c r="I56" s="458">
        <v>-749555.77</v>
      </c>
      <c r="J56" s="456" t="s">
        <v>943</v>
      </c>
      <c r="K56" s="456" t="s">
        <v>778</v>
      </c>
      <c r="L56" s="456" t="s">
        <v>164</v>
      </c>
    </row>
    <row r="57" spans="1:12" x14ac:dyDescent="0.2">
      <c r="A57" s="456" t="s">
        <v>778</v>
      </c>
      <c r="B57" s="456" t="s">
        <v>926</v>
      </c>
      <c r="C57" s="456" t="s">
        <v>779</v>
      </c>
      <c r="D57" s="456" t="s">
        <v>784</v>
      </c>
      <c r="E57" s="456" t="s">
        <v>944</v>
      </c>
      <c r="F57" s="457" t="s">
        <v>945</v>
      </c>
      <c r="G57" s="461">
        <v>0</v>
      </c>
      <c r="H57" s="458">
        <v>190149.15</v>
      </c>
      <c r="I57" s="458">
        <v>-190149.15</v>
      </c>
      <c r="J57" s="456" t="s">
        <v>826</v>
      </c>
      <c r="K57" s="456" t="s">
        <v>778</v>
      </c>
      <c r="L57" s="456" t="s">
        <v>164</v>
      </c>
    </row>
    <row r="58" spans="1:12" x14ac:dyDescent="0.2">
      <c r="A58" s="456" t="s">
        <v>778</v>
      </c>
      <c r="B58" s="456" t="s">
        <v>926</v>
      </c>
      <c r="C58" s="456" t="s">
        <v>779</v>
      </c>
      <c r="D58" s="456" t="s">
        <v>784</v>
      </c>
      <c r="E58" s="456" t="s">
        <v>946</v>
      </c>
      <c r="F58" s="457" t="s">
        <v>947</v>
      </c>
      <c r="G58" s="458">
        <v>14197.9</v>
      </c>
      <c r="H58" s="458">
        <v>-78098.78</v>
      </c>
      <c r="I58" s="458">
        <v>92296.68</v>
      </c>
      <c r="J58" s="456" t="s">
        <v>948</v>
      </c>
      <c r="K58" s="456" t="s">
        <v>778</v>
      </c>
      <c r="L58" s="456" t="s">
        <v>164</v>
      </c>
    </row>
    <row r="59" spans="1:12" x14ac:dyDescent="0.2">
      <c r="A59" s="456" t="s">
        <v>778</v>
      </c>
      <c r="B59" s="456" t="s">
        <v>926</v>
      </c>
      <c r="C59" s="456" t="s">
        <v>779</v>
      </c>
      <c r="D59" s="456" t="s">
        <v>784</v>
      </c>
      <c r="E59" s="456" t="s">
        <v>949</v>
      </c>
      <c r="F59" s="457" t="s">
        <v>950</v>
      </c>
      <c r="G59" s="458">
        <v>-269371.34000000003</v>
      </c>
      <c r="H59" s="458">
        <v>-1150332.6299999999</v>
      </c>
      <c r="I59" s="458">
        <v>880961.29</v>
      </c>
      <c r="J59" s="456" t="s">
        <v>951</v>
      </c>
      <c r="K59" s="456" t="s">
        <v>778</v>
      </c>
      <c r="L59" s="456" t="s">
        <v>164</v>
      </c>
    </row>
    <row r="60" spans="1:12" x14ac:dyDescent="0.2">
      <c r="A60" s="456" t="s">
        <v>778</v>
      </c>
      <c r="B60" s="456" t="s">
        <v>926</v>
      </c>
      <c r="C60" s="456" t="s">
        <v>779</v>
      </c>
      <c r="D60" s="456" t="s">
        <v>784</v>
      </c>
      <c r="E60" s="456" t="s">
        <v>952</v>
      </c>
      <c r="F60" s="457" t="s">
        <v>953</v>
      </c>
      <c r="G60" s="458">
        <v>56730.22</v>
      </c>
      <c r="H60" s="458">
        <v>339788.01</v>
      </c>
      <c r="I60" s="458">
        <v>-283057.78999999998</v>
      </c>
      <c r="J60" s="456" t="s">
        <v>954</v>
      </c>
      <c r="K60" s="456" t="s">
        <v>778</v>
      </c>
      <c r="L60" s="456" t="s">
        <v>164</v>
      </c>
    </row>
    <row r="61" spans="1:12" x14ac:dyDescent="0.2">
      <c r="A61" s="456" t="s">
        <v>778</v>
      </c>
      <c r="B61" s="456" t="s">
        <v>926</v>
      </c>
      <c r="C61" s="456" t="s">
        <v>779</v>
      </c>
      <c r="D61" s="456" t="s">
        <v>784</v>
      </c>
      <c r="E61" s="456" t="s">
        <v>955</v>
      </c>
      <c r="F61" s="457" t="s">
        <v>956</v>
      </c>
      <c r="G61" s="458">
        <v>98829.73</v>
      </c>
      <c r="H61" s="458">
        <v>565842.47</v>
      </c>
      <c r="I61" s="458">
        <v>-467012.74</v>
      </c>
      <c r="J61" s="456" t="s">
        <v>957</v>
      </c>
      <c r="K61" s="456" t="s">
        <v>778</v>
      </c>
      <c r="L61" s="456" t="s">
        <v>164</v>
      </c>
    </row>
    <row r="62" spans="1:12" x14ac:dyDescent="0.2">
      <c r="A62" s="456" t="s">
        <v>778</v>
      </c>
      <c r="B62" s="456" t="s">
        <v>926</v>
      </c>
      <c r="C62" s="456" t="s">
        <v>779</v>
      </c>
      <c r="D62" s="456" t="s">
        <v>784</v>
      </c>
      <c r="E62" s="456" t="s">
        <v>958</v>
      </c>
      <c r="F62" s="457" t="s">
        <v>959</v>
      </c>
      <c r="G62" s="458">
        <v>313216.83</v>
      </c>
      <c r="H62" s="458">
        <v>686812.32</v>
      </c>
      <c r="I62" s="458">
        <v>-373595.49</v>
      </c>
      <c r="J62" s="456" t="s">
        <v>960</v>
      </c>
      <c r="K62" s="456" t="s">
        <v>778</v>
      </c>
      <c r="L62" s="456" t="s">
        <v>164</v>
      </c>
    </row>
    <row r="63" spans="1:12" x14ac:dyDescent="0.2">
      <c r="A63" s="456" t="s">
        <v>778</v>
      </c>
      <c r="B63" s="456" t="s">
        <v>926</v>
      </c>
      <c r="C63" s="456" t="s">
        <v>779</v>
      </c>
      <c r="D63" s="456" t="s">
        <v>784</v>
      </c>
      <c r="E63" s="456" t="s">
        <v>961</v>
      </c>
      <c r="F63" s="457" t="s">
        <v>962</v>
      </c>
      <c r="G63" s="461">
        <v>0</v>
      </c>
      <c r="H63" s="458">
        <v>17211.91</v>
      </c>
      <c r="I63" s="458">
        <v>-17211.91</v>
      </c>
      <c r="J63" s="456" t="s">
        <v>826</v>
      </c>
      <c r="K63" s="456" t="s">
        <v>778</v>
      </c>
      <c r="L63" s="456" t="s">
        <v>164</v>
      </c>
    </row>
    <row r="64" spans="1:12" x14ac:dyDescent="0.2">
      <c r="A64" s="456" t="s">
        <v>778</v>
      </c>
      <c r="B64" s="456" t="s">
        <v>926</v>
      </c>
      <c r="C64" s="456" t="s">
        <v>779</v>
      </c>
      <c r="D64" s="456" t="s">
        <v>784</v>
      </c>
      <c r="E64" s="456" t="s">
        <v>963</v>
      </c>
      <c r="F64" s="457" t="s">
        <v>964</v>
      </c>
      <c r="G64" s="461">
        <v>0</v>
      </c>
      <c r="H64" s="458">
        <v>28949.15</v>
      </c>
      <c r="I64" s="458">
        <v>-28949.15</v>
      </c>
      <c r="J64" s="456" t="s">
        <v>826</v>
      </c>
      <c r="K64" s="456" t="s">
        <v>778</v>
      </c>
      <c r="L64" s="456" t="s">
        <v>164</v>
      </c>
    </row>
    <row r="65" spans="1:12" x14ac:dyDescent="0.2">
      <c r="A65" s="456" t="s">
        <v>778</v>
      </c>
      <c r="B65" s="456" t="s">
        <v>926</v>
      </c>
      <c r="C65" s="456" t="s">
        <v>779</v>
      </c>
      <c r="D65" s="456" t="s">
        <v>784</v>
      </c>
      <c r="E65" s="456" t="s">
        <v>965</v>
      </c>
      <c r="F65" s="457" t="s">
        <v>966</v>
      </c>
      <c r="G65" s="461">
        <v>0</v>
      </c>
      <c r="H65" s="458">
        <v>1258440.6399999999</v>
      </c>
      <c r="I65" s="458">
        <v>-1258440.6399999999</v>
      </c>
      <c r="J65" s="456" t="s">
        <v>826</v>
      </c>
      <c r="K65" s="456" t="s">
        <v>778</v>
      </c>
      <c r="L65" s="456" t="s">
        <v>164</v>
      </c>
    </row>
    <row r="66" spans="1:12" x14ac:dyDescent="0.2">
      <c r="A66" s="456" t="s">
        <v>778</v>
      </c>
      <c r="B66" s="456" t="s">
        <v>926</v>
      </c>
      <c r="C66" s="456" t="s">
        <v>779</v>
      </c>
      <c r="D66" s="456" t="s">
        <v>843</v>
      </c>
      <c r="E66" s="456" t="s">
        <v>967</v>
      </c>
      <c r="F66" s="457" t="s">
        <v>968</v>
      </c>
      <c r="G66" s="458">
        <v>40856.17</v>
      </c>
      <c r="H66" s="458">
        <v>1249757.98</v>
      </c>
      <c r="I66" s="458">
        <v>-1208901.81</v>
      </c>
      <c r="J66" s="456" t="s">
        <v>969</v>
      </c>
      <c r="K66" s="456" t="s">
        <v>778</v>
      </c>
      <c r="L66" s="456" t="s">
        <v>164</v>
      </c>
    </row>
    <row r="67" spans="1:12" x14ac:dyDescent="0.2">
      <c r="A67" s="456" t="s">
        <v>778</v>
      </c>
      <c r="B67" s="456" t="s">
        <v>926</v>
      </c>
      <c r="C67" s="456" t="s">
        <v>779</v>
      </c>
      <c r="D67" s="456" t="s">
        <v>784</v>
      </c>
      <c r="E67" s="456" t="s">
        <v>970</v>
      </c>
      <c r="F67" s="457" t="s">
        <v>971</v>
      </c>
      <c r="G67" s="461">
        <v>-230.05</v>
      </c>
      <c r="H67" s="458">
        <v>153170.39000000001</v>
      </c>
      <c r="I67" s="458">
        <v>-153400.44</v>
      </c>
      <c r="J67" s="456" t="s">
        <v>972</v>
      </c>
      <c r="K67" s="456" t="s">
        <v>778</v>
      </c>
      <c r="L67" s="456" t="s">
        <v>164</v>
      </c>
    </row>
    <row r="68" spans="1:12" x14ac:dyDescent="0.2">
      <c r="A68" s="456" t="s">
        <v>778</v>
      </c>
      <c r="B68" s="456" t="s">
        <v>926</v>
      </c>
      <c r="C68" s="456" t="s">
        <v>779</v>
      </c>
      <c r="D68" s="456" t="s">
        <v>784</v>
      </c>
      <c r="E68" s="456" t="s">
        <v>973</v>
      </c>
      <c r="F68" s="457" t="s">
        <v>974</v>
      </c>
      <c r="G68" s="458">
        <v>1766525.42</v>
      </c>
      <c r="H68" s="458">
        <v>3884843.38</v>
      </c>
      <c r="I68" s="458">
        <v>-2118317.96</v>
      </c>
      <c r="J68" s="456" t="s">
        <v>975</v>
      </c>
      <c r="K68" s="456" t="s">
        <v>778</v>
      </c>
      <c r="L68" s="456" t="s">
        <v>164</v>
      </c>
    </row>
    <row r="69" spans="1:12" x14ac:dyDescent="0.2">
      <c r="A69" s="456" t="s">
        <v>778</v>
      </c>
      <c r="B69" s="456" t="s">
        <v>926</v>
      </c>
      <c r="C69" s="456" t="s">
        <v>779</v>
      </c>
      <c r="D69" s="456" t="s">
        <v>784</v>
      </c>
      <c r="E69" s="456" t="s">
        <v>976</v>
      </c>
      <c r="F69" s="457" t="s">
        <v>977</v>
      </c>
      <c r="G69" s="458">
        <v>1671425.75</v>
      </c>
      <c r="H69" s="458">
        <v>6011035.1200000001</v>
      </c>
      <c r="I69" s="458">
        <v>-4339609.37</v>
      </c>
      <c r="J69" s="456" t="s">
        <v>978</v>
      </c>
      <c r="K69" s="456" t="s">
        <v>778</v>
      </c>
      <c r="L69" s="456" t="s">
        <v>164</v>
      </c>
    </row>
    <row r="70" spans="1:12" x14ac:dyDescent="0.2">
      <c r="A70" s="456" t="s">
        <v>778</v>
      </c>
      <c r="B70" s="456" t="s">
        <v>926</v>
      </c>
      <c r="C70" s="456" t="s">
        <v>779</v>
      </c>
      <c r="D70" s="456" t="s">
        <v>784</v>
      </c>
      <c r="E70" s="456" t="s">
        <v>979</v>
      </c>
      <c r="F70" s="457" t="s">
        <v>980</v>
      </c>
      <c r="G70" s="458">
        <v>1368256.79</v>
      </c>
      <c r="H70" s="458">
        <v>9640854.3200000003</v>
      </c>
      <c r="I70" s="458">
        <v>-8272597.5300000003</v>
      </c>
      <c r="J70" s="456" t="s">
        <v>981</v>
      </c>
      <c r="K70" s="456" t="s">
        <v>778</v>
      </c>
      <c r="L70" s="456" t="s">
        <v>164</v>
      </c>
    </row>
    <row r="71" spans="1:12" x14ac:dyDescent="0.2">
      <c r="A71" s="459" t="s">
        <v>794</v>
      </c>
      <c r="B71" s="459" t="s">
        <v>926</v>
      </c>
      <c r="C71" s="459" t="s">
        <v>299</v>
      </c>
      <c r="D71" s="459" t="s">
        <v>299</v>
      </c>
      <c r="E71" s="459" t="s">
        <v>299</v>
      </c>
      <c r="F71" s="457" t="s">
        <v>982</v>
      </c>
      <c r="G71" s="460">
        <v>7934802.3899999997</v>
      </c>
      <c r="H71" s="460">
        <v>36305589.57</v>
      </c>
      <c r="I71" s="460">
        <v>-28370787.18</v>
      </c>
      <c r="J71" s="459" t="s">
        <v>983</v>
      </c>
      <c r="K71" s="459" t="s">
        <v>778</v>
      </c>
      <c r="L71" s="459" t="s">
        <v>164</v>
      </c>
    </row>
    <row r="72" spans="1:12" x14ac:dyDescent="0.2">
      <c r="A72" s="456" t="s">
        <v>778</v>
      </c>
      <c r="B72" s="456" t="s">
        <v>984</v>
      </c>
      <c r="C72" s="456" t="s">
        <v>779</v>
      </c>
      <c r="D72" s="456" t="s">
        <v>784</v>
      </c>
      <c r="E72" s="456" t="s">
        <v>985</v>
      </c>
      <c r="F72" s="457" t="s">
        <v>986</v>
      </c>
      <c r="G72" s="461">
        <v>0</v>
      </c>
      <c r="H72" s="458">
        <v>2316</v>
      </c>
      <c r="I72" s="458">
        <v>-2316</v>
      </c>
      <c r="J72" s="456" t="s">
        <v>826</v>
      </c>
      <c r="K72" s="456" t="s">
        <v>778</v>
      </c>
      <c r="L72" s="456" t="s">
        <v>164</v>
      </c>
    </row>
    <row r="73" spans="1:12" x14ac:dyDescent="0.2">
      <c r="A73" s="456" t="s">
        <v>778</v>
      </c>
      <c r="B73" s="456" t="s">
        <v>984</v>
      </c>
      <c r="C73" s="456" t="s">
        <v>779</v>
      </c>
      <c r="D73" s="456" t="s">
        <v>987</v>
      </c>
      <c r="E73" s="456" t="s">
        <v>988</v>
      </c>
      <c r="F73" s="457" t="s">
        <v>989</v>
      </c>
      <c r="G73" s="461">
        <v>0</v>
      </c>
      <c r="H73" s="458">
        <v>9252.06</v>
      </c>
      <c r="I73" s="458">
        <v>-9252.06</v>
      </c>
      <c r="J73" s="456" t="s">
        <v>826</v>
      </c>
      <c r="K73" s="456" t="s">
        <v>778</v>
      </c>
      <c r="L73" s="456" t="s">
        <v>164</v>
      </c>
    </row>
    <row r="74" spans="1:12" x14ac:dyDescent="0.2">
      <c r="A74" s="456" t="s">
        <v>778</v>
      </c>
      <c r="B74" s="456" t="s">
        <v>984</v>
      </c>
      <c r="C74" s="456" t="s">
        <v>780</v>
      </c>
      <c r="D74" s="456" t="s">
        <v>780</v>
      </c>
      <c r="E74" s="456" t="s">
        <v>990</v>
      </c>
      <c r="F74" s="457" t="s">
        <v>991</v>
      </c>
      <c r="G74" s="458">
        <v>-12583224</v>
      </c>
      <c r="H74" s="458">
        <v>-11865424</v>
      </c>
      <c r="I74" s="458">
        <v>-717800</v>
      </c>
      <c r="J74" s="456" t="s">
        <v>992</v>
      </c>
      <c r="K74" s="456" t="s">
        <v>778</v>
      </c>
      <c r="L74" s="456" t="s">
        <v>164</v>
      </c>
    </row>
    <row r="75" spans="1:12" x14ac:dyDescent="0.2">
      <c r="A75" s="456" t="s">
        <v>778</v>
      </c>
      <c r="B75" s="456" t="s">
        <v>984</v>
      </c>
      <c r="C75" s="456" t="s">
        <v>779</v>
      </c>
      <c r="D75" s="456" t="s">
        <v>784</v>
      </c>
      <c r="E75" s="456" t="s">
        <v>993</v>
      </c>
      <c r="F75" s="457" t="s">
        <v>994</v>
      </c>
      <c r="G75" s="458">
        <v>423701.45</v>
      </c>
      <c r="H75" s="458">
        <v>1254435.32</v>
      </c>
      <c r="I75" s="458">
        <v>-830733.87</v>
      </c>
      <c r="J75" s="456" t="s">
        <v>995</v>
      </c>
      <c r="K75" s="456" t="s">
        <v>778</v>
      </c>
      <c r="L75" s="456" t="s">
        <v>164</v>
      </c>
    </row>
    <row r="76" spans="1:12" x14ac:dyDescent="0.2">
      <c r="A76" s="456" t="s">
        <v>778</v>
      </c>
      <c r="B76" s="456" t="s">
        <v>984</v>
      </c>
      <c r="C76" s="456" t="s">
        <v>779</v>
      </c>
      <c r="D76" s="456" t="s">
        <v>784</v>
      </c>
      <c r="E76" s="456" t="s">
        <v>996</v>
      </c>
      <c r="F76" s="457" t="s">
        <v>997</v>
      </c>
      <c r="G76" s="458">
        <v>428760.21</v>
      </c>
      <c r="H76" s="458">
        <v>1125215.8600000001</v>
      </c>
      <c r="I76" s="458">
        <v>-696455.65</v>
      </c>
      <c r="J76" s="456" t="s">
        <v>998</v>
      </c>
      <c r="K76" s="456" t="s">
        <v>778</v>
      </c>
      <c r="L76" s="456" t="s">
        <v>164</v>
      </c>
    </row>
    <row r="77" spans="1:12" x14ac:dyDescent="0.2">
      <c r="A77" s="456" t="s">
        <v>778</v>
      </c>
      <c r="B77" s="456" t="s">
        <v>984</v>
      </c>
      <c r="C77" s="456" t="s">
        <v>779</v>
      </c>
      <c r="D77" s="456" t="s">
        <v>784</v>
      </c>
      <c r="E77" s="456" t="s">
        <v>999</v>
      </c>
      <c r="F77" s="457" t="s">
        <v>1000</v>
      </c>
      <c r="G77" s="458">
        <v>45642.18</v>
      </c>
      <c r="H77" s="458">
        <v>301624.18</v>
      </c>
      <c r="I77" s="458">
        <v>-255982</v>
      </c>
      <c r="J77" s="456" t="s">
        <v>1001</v>
      </c>
      <c r="K77" s="456" t="s">
        <v>778</v>
      </c>
      <c r="L77" s="456" t="s">
        <v>164</v>
      </c>
    </row>
    <row r="78" spans="1:12" x14ac:dyDescent="0.2">
      <c r="A78" s="456" t="s">
        <v>778</v>
      </c>
      <c r="B78" s="456" t="s">
        <v>984</v>
      </c>
      <c r="C78" s="456" t="s">
        <v>779</v>
      </c>
      <c r="D78" s="456" t="s">
        <v>784</v>
      </c>
      <c r="E78" s="456" t="s">
        <v>1002</v>
      </c>
      <c r="F78" s="457" t="s">
        <v>1003</v>
      </c>
      <c r="G78" s="461">
        <v>0</v>
      </c>
      <c r="H78" s="461">
        <v>131</v>
      </c>
      <c r="I78" s="461">
        <v>-131</v>
      </c>
      <c r="J78" s="456" t="s">
        <v>826</v>
      </c>
      <c r="K78" s="456" t="s">
        <v>778</v>
      </c>
      <c r="L78" s="456" t="s">
        <v>164</v>
      </c>
    </row>
    <row r="79" spans="1:12" x14ac:dyDescent="0.2">
      <c r="A79" s="456" t="s">
        <v>778</v>
      </c>
      <c r="B79" s="456" t="s">
        <v>984</v>
      </c>
      <c r="C79" s="456" t="s">
        <v>779</v>
      </c>
      <c r="D79" s="456" t="s">
        <v>784</v>
      </c>
      <c r="E79" s="456" t="s">
        <v>1004</v>
      </c>
      <c r="F79" s="457" t="s">
        <v>1005</v>
      </c>
      <c r="G79" s="461">
        <v>100.18</v>
      </c>
      <c r="H79" s="458">
        <v>1449.19</v>
      </c>
      <c r="I79" s="458">
        <v>-1349.01</v>
      </c>
      <c r="J79" s="456" t="s">
        <v>1006</v>
      </c>
      <c r="K79" s="456" t="s">
        <v>778</v>
      </c>
      <c r="L79" s="456" t="s">
        <v>164</v>
      </c>
    </row>
    <row r="80" spans="1:12" x14ac:dyDescent="0.2">
      <c r="A80" s="456" t="s">
        <v>778</v>
      </c>
      <c r="B80" s="456" t="s">
        <v>984</v>
      </c>
      <c r="C80" s="456" t="s">
        <v>779</v>
      </c>
      <c r="D80" s="456" t="s">
        <v>784</v>
      </c>
      <c r="E80" s="456" t="s">
        <v>1007</v>
      </c>
      <c r="F80" s="457" t="s">
        <v>1008</v>
      </c>
      <c r="G80" s="458">
        <v>1020379.17</v>
      </c>
      <c r="H80" s="458">
        <v>124857.67</v>
      </c>
      <c r="I80" s="458">
        <v>895521.5</v>
      </c>
      <c r="J80" s="456" t="s">
        <v>1009</v>
      </c>
      <c r="K80" s="456" t="s">
        <v>778</v>
      </c>
      <c r="L80" s="456" t="s">
        <v>164</v>
      </c>
    </row>
    <row r="81" spans="1:12" x14ac:dyDescent="0.2">
      <c r="A81" s="456" t="s">
        <v>778</v>
      </c>
      <c r="B81" s="456" t="s">
        <v>984</v>
      </c>
      <c r="C81" s="456" t="s">
        <v>779</v>
      </c>
      <c r="D81" s="456" t="s">
        <v>784</v>
      </c>
      <c r="E81" s="456" t="s">
        <v>1010</v>
      </c>
      <c r="F81" s="457" t="s">
        <v>1011</v>
      </c>
      <c r="G81" s="461">
        <v>-172.8</v>
      </c>
      <c r="H81" s="458">
        <v>195337.28</v>
      </c>
      <c r="I81" s="458">
        <v>-195510.08</v>
      </c>
      <c r="J81" s="456" t="s">
        <v>1012</v>
      </c>
      <c r="K81" s="456" t="s">
        <v>778</v>
      </c>
      <c r="L81" s="456" t="s">
        <v>164</v>
      </c>
    </row>
    <row r="82" spans="1:12" x14ac:dyDescent="0.2">
      <c r="A82" s="456" t="s">
        <v>778</v>
      </c>
      <c r="B82" s="456" t="s">
        <v>984</v>
      </c>
      <c r="C82" s="456" t="s">
        <v>779</v>
      </c>
      <c r="D82" s="456" t="s">
        <v>784</v>
      </c>
      <c r="E82" s="456" t="s">
        <v>1013</v>
      </c>
      <c r="F82" s="457" t="s">
        <v>1014</v>
      </c>
      <c r="G82" s="458">
        <v>503263</v>
      </c>
      <c r="H82" s="458">
        <v>42704.76</v>
      </c>
      <c r="I82" s="458">
        <v>460558.24</v>
      </c>
      <c r="J82" s="456" t="s">
        <v>1015</v>
      </c>
      <c r="K82" s="456" t="s">
        <v>778</v>
      </c>
      <c r="L82" s="456" t="s">
        <v>164</v>
      </c>
    </row>
    <row r="83" spans="1:12" x14ac:dyDescent="0.2">
      <c r="A83" s="456" t="s">
        <v>778</v>
      </c>
      <c r="B83" s="456" t="s">
        <v>984</v>
      </c>
      <c r="C83" s="456" t="s">
        <v>779</v>
      </c>
      <c r="D83" s="456" t="s">
        <v>784</v>
      </c>
      <c r="E83" s="456" t="s">
        <v>1016</v>
      </c>
      <c r="F83" s="457" t="s">
        <v>1017</v>
      </c>
      <c r="G83" s="458">
        <v>1863011.19</v>
      </c>
      <c r="H83" s="461">
        <v>0</v>
      </c>
      <c r="I83" s="458">
        <v>1863011.19</v>
      </c>
      <c r="J83" s="456" t="s">
        <v>299</v>
      </c>
      <c r="K83" s="456" t="s">
        <v>778</v>
      </c>
      <c r="L83" s="456" t="s">
        <v>164</v>
      </c>
    </row>
    <row r="84" spans="1:12" x14ac:dyDescent="0.2">
      <c r="A84" s="459" t="s">
        <v>794</v>
      </c>
      <c r="B84" s="459" t="s">
        <v>984</v>
      </c>
      <c r="C84" s="459" t="s">
        <v>299</v>
      </c>
      <c r="D84" s="459" t="s">
        <v>299</v>
      </c>
      <c r="E84" s="459" t="s">
        <v>299</v>
      </c>
      <c r="F84" s="457" t="s">
        <v>1018</v>
      </c>
      <c r="G84" s="460">
        <v>-8298539.4199999999</v>
      </c>
      <c r="H84" s="460">
        <v>-8808100.6799999997</v>
      </c>
      <c r="I84" s="460">
        <v>509561.26</v>
      </c>
      <c r="J84" s="459" t="s">
        <v>1019</v>
      </c>
      <c r="K84" s="459" t="s">
        <v>778</v>
      </c>
      <c r="L84" s="459" t="s">
        <v>164</v>
      </c>
    </row>
    <row r="85" spans="1:12" x14ac:dyDescent="0.2">
      <c r="A85" s="456" t="s">
        <v>778</v>
      </c>
      <c r="B85" s="456" t="s">
        <v>1020</v>
      </c>
      <c r="C85" s="456" t="s">
        <v>779</v>
      </c>
      <c r="D85" s="456" t="s">
        <v>1021</v>
      </c>
      <c r="E85" s="456" t="s">
        <v>1022</v>
      </c>
      <c r="F85" s="457" t="s">
        <v>1023</v>
      </c>
      <c r="G85" s="458">
        <v>3598308.07</v>
      </c>
      <c r="H85" s="458">
        <v>5966760.7999999998</v>
      </c>
      <c r="I85" s="458">
        <v>-2368452.73</v>
      </c>
      <c r="J85" s="456" t="s">
        <v>1024</v>
      </c>
      <c r="K85" s="456" t="s">
        <v>778</v>
      </c>
      <c r="L85" s="456" t="s">
        <v>164</v>
      </c>
    </row>
    <row r="86" spans="1:12" x14ac:dyDescent="0.2">
      <c r="A86" s="456" t="s">
        <v>778</v>
      </c>
      <c r="B86" s="456" t="s">
        <v>1020</v>
      </c>
      <c r="C86" s="456" t="s">
        <v>779</v>
      </c>
      <c r="D86" s="456" t="s">
        <v>780</v>
      </c>
      <c r="E86" s="456" t="s">
        <v>1025</v>
      </c>
      <c r="F86" s="457" t="s">
        <v>1026</v>
      </c>
      <c r="G86" s="458">
        <v>577762143.22000003</v>
      </c>
      <c r="H86" s="458">
        <v>895775509.41999996</v>
      </c>
      <c r="I86" s="458">
        <v>-318013366.19999999</v>
      </c>
      <c r="J86" s="456" t="s">
        <v>1027</v>
      </c>
      <c r="K86" s="456" t="s">
        <v>778</v>
      </c>
      <c r="L86" s="456" t="s">
        <v>164</v>
      </c>
    </row>
    <row r="87" spans="1:12" x14ac:dyDescent="0.2">
      <c r="A87" s="456" t="s">
        <v>778</v>
      </c>
      <c r="B87" s="456" t="s">
        <v>1020</v>
      </c>
      <c r="C87" s="456" t="s">
        <v>779</v>
      </c>
      <c r="D87" s="456" t="s">
        <v>1028</v>
      </c>
      <c r="E87" s="456" t="s">
        <v>1029</v>
      </c>
      <c r="F87" s="457" t="s">
        <v>1030</v>
      </c>
      <c r="G87" s="458">
        <v>571627.56000000006</v>
      </c>
      <c r="H87" s="458">
        <v>636848.52</v>
      </c>
      <c r="I87" s="458">
        <v>-65220.959999999999</v>
      </c>
      <c r="J87" s="456" t="s">
        <v>1031</v>
      </c>
      <c r="K87" s="456" t="s">
        <v>778</v>
      </c>
      <c r="L87" s="456" t="s">
        <v>164</v>
      </c>
    </row>
    <row r="88" spans="1:12" x14ac:dyDescent="0.2">
      <c r="A88" s="456" t="s">
        <v>778</v>
      </c>
      <c r="B88" s="456" t="s">
        <v>1020</v>
      </c>
      <c r="C88" s="456" t="s">
        <v>779</v>
      </c>
      <c r="D88" s="456" t="s">
        <v>1028</v>
      </c>
      <c r="E88" s="456" t="s">
        <v>1032</v>
      </c>
      <c r="F88" s="457" t="s">
        <v>1033</v>
      </c>
      <c r="G88" s="461">
        <v>0</v>
      </c>
      <c r="H88" s="461">
        <v>0.3</v>
      </c>
      <c r="I88" s="461">
        <v>-0.3</v>
      </c>
      <c r="J88" s="456" t="s">
        <v>826</v>
      </c>
      <c r="K88" s="456" t="s">
        <v>778</v>
      </c>
      <c r="L88" s="456" t="s">
        <v>164</v>
      </c>
    </row>
    <row r="89" spans="1:12" x14ac:dyDescent="0.2">
      <c r="A89" s="456" t="s">
        <v>778</v>
      </c>
      <c r="B89" s="456" t="s">
        <v>1020</v>
      </c>
      <c r="C89" s="456" t="s">
        <v>779</v>
      </c>
      <c r="D89" s="456" t="s">
        <v>1028</v>
      </c>
      <c r="E89" s="456" t="s">
        <v>1034</v>
      </c>
      <c r="F89" s="457" t="s">
        <v>1035</v>
      </c>
      <c r="G89" s="458">
        <v>19121.22</v>
      </c>
      <c r="H89" s="461">
        <v>0</v>
      </c>
      <c r="I89" s="458">
        <v>19121.22</v>
      </c>
      <c r="J89" s="456" t="s">
        <v>299</v>
      </c>
      <c r="K89" s="456" t="s">
        <v>778</v>
      </c>
      <c r="L89" s="456" t="s">
        <v>164</v>
      </c>
    </row>
    <row r="90" spans="1:12" x14ac:dyDescent="0.2">
      <c r="A90" s="456" t="s">
        <v>778</v>
      </c>
      <c r="B90" s="456" t="s">
        <v>1020</v>
      </c>
      <c r="C90" s="456" t="s">
        <v>779</v>
      </c>
      <c r="D90" s="456" t="s">
        <v>780</v>
      </c>
      <c r="E90" s="456" t="s">
        <v>1036</v>
      </c>
      <c r="F90" s="457" t="s">
        <v>1037</v>
      </c>
      <c r="G90" s="458">
        <v>5881.21</v>
      </c>
      <c r="H90" s="458">
        <v>79331.600000000006</v>
      </c>
      <c r="I90" s="458">
        <v>-73450.39</v>
      </c>
      <c r="J90" s="456" t="s">
        <v>1038</v>
      </c>
      <c r="K90" s="456" t="s">
        <v>778</v>
      </c>
      <c r="L90" s="456" t="s">
        <v>164</v>
      </c>
    </row>
    <row r="91" spans="1:12" x14ac:dyDescent="0.2">
      <c r="A91" s="456" t="s">
        <v>778</v>
      </c>
      <c r="B91" s="456" t="s">
        <v>1020</v>
      </c>
      <c r="C91" s="456" t="s">
        <v>779</v>
      </c>
      <c r="D91" s="456" t="s">
        <v>780</v>
      </c>
      <c r="E91" s="456" t="s">
        <v>1039</v>
      </c>
      <c r="F91" s="457" t="s">
        <v>1040</v>
      </c>
      <c r="G91" s="461">
        <v>0</v>
      </c>
      <c r="H91" s="458">
        <v>199002.82</v>
      </c>
      <c r="I91" s="458">
        <v>-199002.82</v>
      </c>
      <c r="J91" s="456" t="s">
        <v>826</v>
      </c>
      <c r="K91" s="456" t="s">
        <v>778</v>
      </c>
      <c r="L91" s="456" t="s">
        <v>164</v>
      </c>
    </row>
    <row r="92" spans="1:12" x14ac:dyDescent="0.2">
      <c r="A92" s="456" t="s">
        <v>778</v>
      </c>
      <c r="B92" s="456" t="s">
        <v>1020</v>
      </c>
      <c r="C92" s="456" t="s">
        <v>779</v>
      </c>
      <c r="D92" s="456" t="s">
        <v>784</v>
      </c>
      <c r="E92" s="456" t="s">
        <v>1041</v>
      </c>
      <c r="F92" s="457" t="s">
        <v>1042</v>
      </c>
      <c r="G92" s="461">
        <v>8.9499999999999993</v>
      </c>
      <c r="H92" s="461">
        <v>0</v>
      </c>
      <c r="I92" s="461">
        <v>8.9499999999999993</v>
      </c>
      <c r="J92" s="456" t="s">
        <v>299</v>
      </c>
      <c r="K92" s="456" t="s">
        <v>778</v>
      </c>
      <c r="L92" s="456" t="s">
        <v>164</v>
      </c>
    </row>
    <row r="93" spans="1:12" x14ac:dyDescent="0.2">
      <c r="A93" s="456" t="s">
        <v>778</v>
      </c>
      <c r="B93" s="456" t="s">
        <v>1020</v>
      </c>
      <c r="C93" s="456" t="s">
        <v>779</v>
      </c>
      <c r="D93" s="456" t="s">
        <v>780</v>
      </c>
      <c r="E93" s="456" t="s">
        <v>1043</v>
      </c>
      <c r="F93" s="457" t="s">
        <v>1044</v>
      </c>
      <c r="G93" s="458">
        <v>479409.94</v>
      </c>
      <c r="H93" s="458">
        <v>1673663.97</v>
      </c>
      <c r="I93" s="458">
        <v>-1194254.03</v>
      </c>
      <c r="J93" s="456" t="s">
        <v>1045</v>
      </c>
      <c r="K93" s="456" t="s">
        <v>778</v>
      </c>
      <c r="L93" s="456" t="s">
        <v>164</v>
      </c>
    </row>
    <row r="94" spans="1:12" x14ac:dyDescent="0.2">
      <c r="A94" s="456" t="s">
        <v>778</v>
      </c>
      <c r="B94" s="456" t="s">
        <v>1020</v>
      </c>
      <c r="C94" s="456" t="s">
        <v>779</v>
      </c>
      <c r="D94" s="456" t="s">
        <v>780</v>
      </c>
      <c r="E94" s="456" t="s">
        <v>1046</v>
      </c>
      <c r="F94" s="457" t="s">
        <v>1047</v>
      </c>
      <c r="G94" s="458">
        <v>11210224.07</v>
      </c>
      <c r="H94" s="458">
        <v>20799845.079999998</v>
      </c>
      <c r="I94" s="458">
        <v>-9589621.0099999998</v>
      </c>
      <c r="J94" s="456" t="s">
        <v>1048</v>
      </c>
      <c r="K94" s="456" t="s">
        <v>778</v>
      </c>
      <c r="L94" s="456" t="s">
        <v>164</v>
      </c>
    </row>
    <row r="95" spans="1:12" x14ac:dyDescent="0.2">
      <c r="A95" s="456" t="s">
        <v>778</v>
      </c>
      <c r="B95" s="456" t="s">
        <v>1020</v>
      </c>
      <c r="C95" s="456" t="s">
        <v>779</v>
      </c>
      <c r="D95" s="456" t="s">
        <v>780</v>
      </c>
      <c r="E95" s="456" t="s">
        <v>1049</v>
      </c>
      <c r="F95" s="457" t="s">
        <v>1050</v>
      </c>
      <c r="G95" s="458">
        <v>3535966.39</v>
      </c>
      <c r="H95" s="458">
        <v>6293478.4800000004</v>
      </c>
      <c r="I95" s="458">
        <v>-2757512.09</v>
      </c>
      <c r="J95" s="456" t="s">
        <v>1051</v>
      </c>
      <c r="K95" s="456" t="s">
        <v>778</v>
      </c>
      <c r="L95" s="456" t="s">
        <v>164</v>
      </c>
    </row>
    <row r="96" spans="1:12" x14ac:dyDescent="0.2">
      <c r="A96" s="456" t="s">
        <v>778</v>
      </c>
      <c r="B96" s="456" t="s">
        <v>1020</v>
      </c>
      <c r="C96" s="456" t="s">
        <v>779</v>
      </c>
      <c r="D96" s="456" t="s">
        <v>780</v>
      </c>
      <c r="E96" s="456" t="s">
        <v>1052</v>
      </c>
      <c r="F96" s="457" t="s">
        <v>1053</v>
      </c>
      <c r="G96" s="458">
        <v>41369272.759999998</v>
      </c>
      <c r="H96" s="458">
        <v>82031137.769999996</v>
      </c>
      <c r="I96" s="458">
        <v>-40661865.009999998</v>
      </c>
      <c r="J96" s="456" t="s">
        <v>1054</v>
      </c>
      <c r="K96" s="456" t="s">
        <v>778</v>
      </c>
      <c r="L96" s="456" t="s">
        <v>164</v>
      </c>
    </row>
    <row r="97" spans="1:12" x14ac:dyDescent="0.2">
      <c r="A97" s="456" t="s">
        <v>778</v>
      </c>
      <c r="B97" s="456" t="s">
        <v>1020</v>
      </c>
      <c r="C97" s="456" t="s">
        <v>779</v>
      </c>
      <c r="D97" s="456" t="s">
        <v>780</v>
      </c>
      <c r="E97" s="456" t="s">
        <v>1055</v>
      </c>
      <c r="F97" s="457" t="s">
        <v>1056</v>
      </c>
      <c r="G97" s="458">
        <v>76790.210000000006</v>
      </c>
      <c r="H97" s="461">
        <v>0</v>
      </c>
      <c r="I97" s="458">
        <v>76790.210000000006</v>
      </c>
      <c r="J97" s="456" t="s">
        <v>299</v>
      </c>
      <c r="K97" s="456" t="s">
        <v>778</v>
      </c>
      <c r="L97" s="456" t="s">
        <v>164</v>
      </c>
    </row>
    <row r="98" spans="1:12" x14ac:dyDescent="0.2">
      <c r="A98" s="459" t="s">
        <v>794</v>
      </c>
      <c r="B98" s="459" t="s">
        <v>1020</v>
      </c>
      <c r="C98" s="459" t="s">
        <v>299</v>
      </c>
      <c r="D98" s="459" t="s">
        <v>299</v>
      </c>
      <c r="E98" s="459" t="s">
        <v>299</v>
      </c>
      <c r="F98" s="457" t="s">
        <v>1057</v>
      </c>
      <c r="G98" s="460">
        <v>638628753.60000002</v>
      </c>
      <c r="H98" s="460">
        <v>1013455578.76</v>
      </c>
      <c r="I98" s="460">
        <v>-374826825.16000003</v>
      </c>
      <c r="J98" s="459" t="s">
        <v>1058</v>
      </c>
      <c r="K98" s="459" t="s">
        <v>778</v>
      </c>
      <c r="L98" s="459" t="s">
        <v>164</v>
      </c>
    </row>
    <row r="99" spans="1:12" x14ac:dyDescent="0.2">
      <c r="A99" s="456" t="s">
        <v>778</v>
      </c>
      <c r="B99" s="456" t="s">
        <v>1059</v>
      </c>
      <c r="C99" s="456" t="s">
        <v>779</v>
      </c>
      <c r="D99" s="456" t="s">
        <v>780</v>
      </c>
      <c r="E99" s="456" t="s">
        <v>1060</v>
      </c>
      <c r="F99" s="457" t="s">
        <v>1061</v>
      </c>
      <c r="G99" s="458">
        <v>-737264143.12</v>
      </c>
      <c r="H99" s="458">
        <v>-1200081810.0999999</v>
      </c>
      <c r="I99" s="458">
        <v>462817666.98000002</v>
      </c>
      <c r="J99" s="456" t="s">
        <v>1062</v>
      </c>
      <c r="K99" s="456" t="s">
        <v>778</v>
      </c>
      <c r="L99" s="456" t="s">
        <v>164</v>
      </c>
    </row>
    <row r="100" spans="1:12" x14ac:dyDescent="0.2">
      <c r="A100" s="456" t="s">
        <v>778</v>
      </c>
      <c r="B100" s="456" t="s">
        <v>1059</v>
      </c>
      <c r="C100" s="456" t="s">
        <v>779</v>
      </c>
      <c r="D100" s="456" t="s">
        <v>780</v>
      </c>
      <c r="E100" s="456" t="s">
        <v>1063</v>
      </c>
      <c r="F100" s="457" t="s">
        <v>1064</v>
      </c>
      <c r="G100" s="458">
        <v>98784110.959999993</v>
      </c>
      <c r="H100" s="458">
        <v>187195279.69999999</v>
      </c>
      <c r="I100" s="458">
        <v>-88411168.739999995</v>
      </c>
      <c r="J100" s="456" t="s">
        <v>1065</v>
      </c>
      <c r="K100" s="456" t="s">
        <v>778</v>
      </c>
      <c r="L100" s="456" t="s">
        <v>164</v>
      </c>
    </row>
    <row r="101" spans="1:12" x14ac:dyDescent="0.2">
      <c r="A101" s="459" t="s">
        <v>794</v>
      </c>
      <c r="B101" s="459" t="s">
        <v>1059</v>
      </c>
      <c r="C101" s="459" t="s">
        <v>299</v>
      </c>
      <c r="D101" s="459" t="s">
        <v>299</v>
      </c>
      <c r="E101" s="459" t="s">
        <v>299</v>
      </c>
      <c r="F101" s="457" t="s">
        <v>1066</v>
      </c>
      <c r="G101" s="460">
        <v>-638480032.15999997</v>
      </c>
      <c r="H101" s="460">
        <v>-1012886530.4</v>
      </c>
      <c r="I101" s="460">
        <v>374406498.24000001</v>
      </c>
      <c r="J101" s="459" t="s">
        <v>1067</v>
      </c>
      <c r="K101" s="459" t="s">
        <v>778</v>
      </c>
      <c r="L101" s="459" t="s">
        <v>164</v>
      </c>
    </row>
    <row r="102" spans="1:12" x14ac:dyDescent="0.2">
      <c r="A102" s="456" t="s">
        <v>778</v>
      </c>
      <c r="B102" s="456" t="s">
        <v>1068</v>
      </c>
      <c r="C102" s="456" t="s">
        <v>779</v>
      </c>
      <c r="D102" s="456" t="s">
        <v>780</v>
      </c>
      <c r="E102" s="456" t="s">
        <v>1069</v>
      </c>
      <c r="F102" s="457" t="s">
        <v>1070</v>
      </c>
      <c r="G102" s="458">
        <v>-10846.61</v>
      </c>
      <c r="H102" s="458">
        <v>1018170.49</v>
      </c>
      <c r="I102" s="458">
        <v>-1029017.1</v>
      </c>
      <c r="J102" s="456" t="s">
        <v>1071</v>
      </c>
      <c r="K102" s="456" t="s">
        <v>778</v>
      </c>
      <c r="L102" s="456" t="s">
        <v>164</v>
      </c>
    </row>
    <row r="103" spans="1:12" x14ac:dyDescent="0.2">
      <c r="A103" s="459" t="s">
        <v>794</v>
      </c>
      <c r="B103" s="459" t="s">
        <v>1068</v>
      </c>
      <c r="C103" s="459" t="s">
        <v>299</v>
      </c>
      <c r="D103" s="459" t="s">
        <v>299</v>
      </c>
      <c r="E103" s="459" t="s">
        <v>299</v>
      </c>
      <c r="F103" s="457" t="s">
        <v>1072</v>
      </c>
      <c r="G103" s="460">
        <v>-10846.61</v>
      </c>
      <c r="H103" s="460">
        <v>1018170.49</v>
      </c>
      <c r="I103" s="460">
        <v>-1029017.1</v>
      </c>
      <c r="J103" s="459" t="s">
        <v>1071</v>
      </c>
      <c r="K103" s="459" t="s">
        <v>778</v>
      </c>
      <c r="L103" s="459" t="s">
        <v>164</v>
      </c>
    </row>
    <row r="104" spans="1:12" x14ac:dyDescent="0.2">
      <c r="A104" s="459" t="s">
        <v>848</v>
      </c>
      <c r="B104" s="459" t="s">
        <v>1073</v>
      </c>
      <c r="C104" s="459" t="s">
        <v>299</v>
      </c>
      <c r="D104" s="459" t="s">
        <v>299</v>
      </c>
      <c r="E104" s="459" t="s">
        <v>299</v>
      </c>
      <c r="F104" s="457" t="s">
        <v>1074</v>
      </c>
      <c r="G104" s="460">
        <v>427522544.94999999</v>
      </c>
      <c r="H104" s="460">
        <v>1092680639.71</v>
      </c>
      <c r="I104" s="460">
        <v>-665158094.75999999</v>
      </c>
      <c r="J104" s="459" t="s">
        <v>1075</v>
      </c>
      <c r="K104" s="459" t="s">
        <v>778</v>
      </c>
      <c r="L104" s="459" t="s">
        <v>164</v>
      </c>
    </row>
    <row r="105" spans="1:12" x14ac:dyDescent="0.2">
      <c r="A105" s="456" t="s">
        <v>778</v>
      </c>
      <c r="B105" s="456" t="s">
        <v>1076</v>
      </c>
      <c r="C105" s="456" t="s">
        <v>779</v>
      </c>
      <c r="D105" s="456" t="s">
        <v>780</v>
      </c>
      <c r="E105" s="456" t="s">
        <v>1077</v>
      </c>
      <c r="F105" s="457" t="s">
        <v>1078</v>
      </c>
      <c r="G105" s="458">
        <v>4265388.74</v>
      </c>
      <c r="H105" s="458">
        <v>12941955.140000001</v>
      </c>
      <c r="I105" s="458">
        <v>-8676566.4000000004</v>
      </c>
      <c r="J105" s="456" t="s">
        <v>1079</v>
      </c>
      <c r="K105" s="456" t="s">
        <v>778</v>
      </c>
      <c r="L105" s="456" t="s">
        <v>164</v>
      </c>
    </row>
    <row r="106" spans="1:12" x14ac:dyDescent="0.2">
      <c r="A106" s="459" t="s">
        <v>794</v>
      </c>
      <c r="B106" s="459" t="s">
        <v>1076</v>
      </c>
      <c r="C106" s="459" t="s">
        <v>299</v>
      </c>
      <c r="D106" s="459" t="s">
        <v>299</v>
      </c>
      <c r="E106" s="459" t="s">
        <v>299</v>
      </c>
      <c r="F106" s="457" t="s">
        <v>1080</v>
      </c>
      <c r="G106" s="460">
        <v>4265388.74</v>
      </c>
      <c r="H106" s="460">
        <v>12941955.140000001</v>
      </c>
      <c r="I106" s="460">
        <v>-8676566.4000000004</v>
      </c>
      <c r="J106" s="459" t="s">
        <v>1079</v>
      </c>
      <c r="K106" s="459" t="s">
        <v>778</v>
      </c>
      <c r="L106" s="459" t="s">
        <v>164</v>
      </c>
    </row>
    <row r="107" spans="1:12" x14ac:dyDescent="0.2">
      <c r="A107" s="456" t="s">
        <v>778</v>
      </c>
      <c r="B107" s="456" t="s">
        <v>1081</v>
      </c>
      <c r="C107" s="456" t="s">
        <v>779</v>
      </c>
      <c r="D107" s="456" t="s">
        <v>784</v>
      </c>
      <c r="E107" s="456" t="s">
        <v>1082</v>
      </c>
      <c r="F107" s="457" t="s">
        <v>1083</v>
      </c>
      <c r="G107" s="461">
        <v>-0.03</v>
      </c>
      <c r="H107" s="461">
        <v>0</v>
      </c>
      <c r="I107" s="461">
        <v>-0.03</v>
      </c>
      <c r="J107" s="456" t="s">
        <v>299</v>
      </c>
      <c r="K107" s="456" t="s">
        <v>778</v>
      </c>
      <c r="L107" s="456" t="s">
        <v>164</v>
      </c>
    </row>
    <row r="108" spans="1:12" x14ac:dyDescent="0.2">
      <c r="A108" s="456" t="s">
        <v>778</v>
      </c>
      <c r="B108" s="456" t="s">
        <v>1081</v>
      </c>
      <c r="C108" s="456" t="s">
        <v>779</v>
      </c>
      <c r="D108" s="456" t="s">
        <v>780</v>
      </c>
      <c r="E108" s="456" t="s">
        <v>1084</v>
      </c>
      <c r="F108" s="457" t="s">
        <v>1085</v>
      </c>
      <c r="G108" s="458">
        <v>20365.62</v>
      </c>
      <c r="H108" s="458">
        <v>213255.96</v>
      </c>
      <c r="I108" s="458">
        <v>-192890.34</v>
      </c>
      <c r="J108" s="456" t="s">
        <v>1086</v>
      </c>
      <c r="K108" s="456" t="s">
        <v>778</v>
      </c>
      <c r="L108" s="456" t="s">
        <v>164</v>
      </c>
    </row>
    <row r="109" spans="1:12" x14ac:dyDescent="0.2">
      <c r="A109" s="456" t="s">
        <v>778</v>
      </c>
      <c r="B109" s="456" t="s">
        <v>1081</v>
      </c>
      <c r="C109" s="456" t="s">
        <v>779</v>
      </c>
      <c r="D109" s="456" t="s">
        <v>780</v>
      </c>
      <c r="E109" s="456" t="s">
        <v>1087</v>
      </c>
      <c r="F109" s="457" t="s">
        <v>1088</v>
      </c>
      <c r="G109" s="458">
        <v>2885143.61</v>
      </c>
      <c r="H109" s="458">
        <v>12393424.49</v>
      </c>
      <c r="I109" s="458">
        <v>-9508280.8800000008</v>
      </c>
      <c r="J109" s="456" t="s">
        <v>1089</v>
      </c>
      <c r="K109" s="456" t="s">
        <v>778</v>
      </c>
      <c r="L109" s="456" t="s">
        <v>164</v>
      </c>
    </row>
    <row r="110" spans="1:12" x14ac:dyDescent="0.2">
      <c r="A110" s="459" t="s">
        <v>794</v>
      </c>
      <c r="B110" s="459" t="s">
        <v>1081</v>
      </c>
      <c r="C110" s="459" t="s">
        <v>299</v>
      </c>
      <c r="D110" s="459" t="s">
        <v>299</v>
      </c>
      <c r="E110" s="459" t="s">
        <v>299</v>
      </c>
      <c r="F110" s="457" t="s">
        <v>1090</v>
      </c>
      <c r="G110" s="460">
        <v>2905509.2</v>
      </c>
      <c r="H110" s="460">
        <v>12606680.449999999</v>
      </c>
      <c r="I110" s="460">
        <v>-9701171.25</v>
      </c>
      <c r="J110" s="459" t="s">
        <v>1091</v>
      </c>
      <c r="K110" s="459" t="s">
        <v>778</v>
      </c>
      <c r="L110" s="459" t="s">
        <v>164</v>
      </c>
    </row>
    <row r="111" spans="1:12" x14ac:dyDescent="0.2">
      <c r="A111" s="456" t="s">
        <v>778</v>
      </c>
      <c r="B111" s="456" t="s">
        <v>1092</v>
      </c>
      <c r="C111" s="456" t="s">
        <v>779</v>
      </c>
      <c r="D111" s="456" t="s">
        <v>780</v>
      </c>
      <c r="E111" s="456" t="s">
        <v>1093</v>
      </c>
      <c r="F111" s="457" t="s">
        <v>1094</v>
      </c>
      <c r="G111" s="458">
        <v>-646428.24</v>
      </c>
      <c r="H111" s="458">
        <v>1834178.11</v>
      </c>
      <c r="I111" s="458">
        <v>-2480606.35</v>
      </c>
      <c r="J111" s="456" t="s">
        <v>1095</v>
      </c>
      <c r="K111" s="456" t="s">
        <v>778</v>
      </c>
      <c r="L111" s="456" t="s">
        <v>164</v>
      </c>
    </row>
    <row r="112" spans="1:12" x14ac:dyDescent="0.2">
      <c r="A112" s="456" t="s">
        <v>778</v>
      </c>
      <c r="B112" s="456" t="s">
        <v>1092</v>
      </c>
      <c r="C112" s="456" t="s">
        <v>779</v>
      </c>
      <c r="D112" s="456" t="s">
        <v>780</v>
      </c>
      <c r="E112" s="456" t="s">
        <v>1096</v>
      </c>
      <c r="F112" s="457" t="s">
        <v>1097</v>
      </c>
      <c r="G112" s="458">
        <v>-512934.41</v>
      </c>
      <c r="H112" s="458">
        <v>38263.26</v>
      </c>
      <c r="I112" s="458">
        <v>-551197.67000000004</v>
      </c>
      <c r="J112" s="456" t="s">
        <v>1098</v>
      </c>
      <c r="K112" s="456" t="s">
        <v>778</v>
      </c>
      <c r="L112" s="456" t="s">
        <v>164</v>
      </c>
    </row>
    <row r="113" spans="1:12" x14ac:dyDescent="0.2">
      <c r="A113" s="456" t="s">
        <v>778</v>
      </c>
      <c r="B113" s="456" t="s">
        <v>1092</v>
      </c>
      <c r="C113" s="456" t="s">
        <v>779</v>
      </c>
      <c r="D113" s="456" t="s">
        <v>780</v>
      </c>
      <c r="E113" s="456" t="s">
        <v>1099</v>
      </c>
      <c r="F113" s="457" t="s">
        <v>1100</v>
      </c>
      <c r="G113" s="458">
        <v>942749.88</v>
      </c>
      <c r="H113" s="458">
        <v>1515958.9</v>
      </c>
      <c r="I113" s="458">
        <v>-573209.02</v>
      </c>
      <c r="J113" s="456" t="s">
        <v>1101</v>
      </c>
      <c r="K113" s="456" t="s">
        <v>778</v>
      </c>
      <c r="L113" s="456" t="s">
        <v>164</v>
      </c>
    </row>
    <row r="114" spans="1:12" x14ac:dyDescent="0.2">
      <c r="A114" s="456" t="s">
        <v>778</v>
      </c>
      <c r="B114" s="456" t="s">
        <v>1092</v>
      </c>
      <c r="C114" s="456" t="s">
        <v>779</v>
      </c>
      <c r="D114" s="456" t="s">
        <v>780</v>
      </c>
      <c r="E114" s="456" t="s">
        <v>1102</v>
      </c>
      <c r="F114" s="457" t="s">
        <v>1103</v>
      </c>
      <c r="G114" s="458">
        <v>1701739.19</v>
      </c>
      <c r="H114" s="458">
        <v>1237568.2</v>
      </c>
      <c r="I114" s="458">
        <v>464170.99</v>
      </c>
      <c r="J114" s="456" t="s">
        <v>1104</v>
      </c>
      <c r="K114" s="456" t="s">
        <v>778</v>
      </c>
      <c r="L114" s="456" t="s">
        <v>164</v>
      </c>
    </row>
    <row r="115" spans="1:12" x14ac:dyDescent="0.2">
      <c r="A115" s="459" t="s">
        <v>794</v>
      </c>
      <c r="B115" s="459" t="s">
        <v>1092</v>
      </c>
      <c r="C115" s="459" t="s">
        <v>299</v>
      </c>
      <c r="D115" s="459" t="s">
        <v>299</v>
      </c>
      <c r="E115" s="459" t="s">
        <v>299</v>
      </c>
      <c r="F115" s="457" t="s">
        <v>1105</v>
      </c>
      <c r="G115" s="460">
        <v>1485126.42</v>
      </c>
      <c r="H115" s="460">
        <v>4625968.47</v>
      </c>
      <c r="I115" s="460">
        <v>-3140842.05</v>
      </c>
      <c r="J115" s="459" t="s">
        <v>1106</v>
      </c>
      <c r="K115" s="459" t="s">
        <v>778</v>
      </c>
      <c r="L115" s="459" t="s">
        <v>164</v>
      </c>
    </row>
    <row r="116" spans="1:12" x14ac:dyDescent="0.2">
      <c r="A116" s="456" t="s">
        <v>778</v>
      </c>
      <c r="B116" s="456" t="s">
        <v>1107</v>
      </c>
      <c r="C116" s="456" t="s">
        <v>779</v>
      </c>
      <c r="D116" s="456" t="s">
        <v>780</v>
      </c>
      <c r="E116" s="456" t="s">
        <v>1108</v>
      </c>
      <c r="F116" s="457" t="s">
        <v>1109</v>
      </c>
      <c r="G116" s="458">
        <v>14031.9</v>
      </c>
      <c r="H116" s="458">
        <v>199904.5</v>
      </c>
      <c r="I116" s="458">
        <v>-185872.6</v>
      </c>
      <c r="J116" s="456" t="s">
        <v>1110</v>
      </c>
      <c r="K116" s="456" t="s">
        <v>778</v>
      </c>
      <c r="L116" s="456" t="s">
        <v>164</v>
      </c>
    </row>
    <row r="117" spans="1:12" x14ac:dyDescent="0.2">
      <c r="A117" s="456" t="s">
        <v>778</v>
      </c>
      <c r="B117" s="456" t="s">
        <v>1107</v>
      </c>
      <c r="C117" s="456" t="s">
        <v>779</v>
      </c>
      <c r="D117" s="456" t="s">
        <v>780</v>
      </c>
      <c r="E117" s="456" t="s">
        <v>1111</v>
      </c>
      <c r="F117" s="457" t="s">
        <v>1112</v>
      </c>
      <c r="G117" s="458">
        <v>29881136.859999999</v>
      </c>
      <c r="H117" s="458">
        <v>74109221.799999997</v>
      </c>
      <c r="I117" s="458">
        <v>-44228084.939999998</v>
      </c>
      <c r="J117" s="456" t="s">
        <v>1113</v>
      </c>
      <c r="K117" s="456" t="s">
        <v>778</v>
      </c>
      <c r="L117" s="456" t="s">
        <v>164</v>
      </c>
    </row>
    <row r="118" spans="1:12" x14ac:dyDescent="0.2">
      <c r="A118" s="456" t="s">
        <v>778</v>
      </c>
      <c r="B118" s="456" t="s">
        <v>1107</v>
      </c>
      <c r="C118" s="456" t="s">
        <v>779</v>
      </c>
      <c r="D118" s="456" t="s">
        <v>780</v>
      </c>
      <c r="E118" s="456" t="s">
        <v>1114</v>
      </c>
      <c r="F118" s="457" t="s">
        <v>1115</v>
      </c>
      <c r="G118" s="458">
        <v>-28532333.920000002</v>
      </c>
      <c r="H118" s="458">
        <v>-70256038.840000004</v>
      </c>
      <c r="I118" s="458">
        <v>41723704.920000002</v>
      </c>
      <c r="J118" s="456" t="s">
        <v>1116</v>
      </c>
      <c r="K118" s="456" t="s">
        <v>778</v>
      </c>
      <c r="L118" s="456" t="s">
        <v>164</v>
      </c>
    </row>
    <row r="119" spans="1:12" x14ac:dyDescent="0.2">
      <c r="A119" s="456" t="s">
        <v>778</v>
      </c>
      <c r="B119" s="456" t="s">
        <v>1107</v>
      </c>
      <c r="C119" s="456" t="s">
        <v>779</v>
      </c>
      <c r="D119" s="456" t="s">
        <v>1117</v>
      </c>
      <c r="E119" s="456" t="s">
        <v>1118</v>
      </c>
      <c r="F119" s="457" t="s">
        <v>1119</v>
      </c>
      <c r="G119" s="461">
        <v>0</v>
      </c>
      <c r="H119" s="458">
        <v>12925.94</v>
      </c>
      <c r="I119" s="458">
        <v>-12925.94</v>
      </c>
      <c r="J119" s="456" t="s">
        <v>826</v>
      </c>
      <c r="K119" s="456" t="s">
        <v>778</v>
      </c>
      <c r="L119" s="456" t="s">
        <v>164</v>
      </c>
    </row>
    <row r="120" spans="1:12" x14ac:dyDescent="0.2">
      <c r="A120" s="459" t="s">
        <v>794</v>
      </c>
      <c r="B120" s="459" t="s">
        <v>1107</v>
      </c>
      <c r="C120" s="459" t="s">
        <v>299</v>
      </c>
      <c r="D120" s="459" t="s">
        <v>299</v>
      </c>
      <c r="E120" s="459" t="s">
        <v>299</v>
      </c>
      <c r="F120" s="457" t="s">
        <v>1120</v>
      </c>
      <c r="G120" s="460">
        <v>1362834.84</v>
      </c>
      <c r="H120" s="460">
        <v>4066013.4</v>
      </c>
      <c r="I120" s="460">
        <v>-2703178.56</v>
      </c>
      <c r="J120" s="459" t="s">
        <v>1121</v>
      </c>
      <c r="K120" s="459" t="s">
        <v>778</v>
      </c>
      <c r="L120" s="459" t="s">
        <v>164</v>
      </c>
    </row>
    <row r="121" spans="1:12" x14ac:dyDescent="0.2">
      <c r="A121" s="456" t="s">
        <v>778</v>
      </c>
      <c r="B121" s="456" t="s">
        <v>1122</v>
      </c>
      <c r="C121" s="456" t="s">
        <v>779</v>
      </c>
      <c r="D121" s="456" t="s">
        <v>780</v>
      </c>
      <c r="E121" s="456" t="s">
        <v>1123</v>
      </c>
      <c r="F121" s="457" t="s">
        <v>1124</v>
      </c>
      <c r="G121" s="458">
        <v>-3482626.78</v>
      </c>
      <c r="H121" s="458">
        <v>-18281967.43</v>
      </c>
      <c r="I121" s="458">
        <v>14799340.65</v>
      </c>
      <c r="J121" s="456" t="s">
        <v>1125</v>
      </c>
      <c r="K121" s="456" t="s">
        <v>778</v>
      </c>
      <c r="L121" s="456" t="s">
        <v>164</v>
      </c>
    </row>
    <row r="122" spans="1:12" x14ac:dyDescent="0.2">
      <c r="A122" s="456" t="s">
        <v>778</v>
      </c>
      <c r="B122" s="456" t="s">
        <v>1122</v>
      </c>
      <c r="C122" s="456" t="s">
        <v>779</v>
      </c>
      <c r="D122" s="456" t="s">
        <v>780</v>
      </c>
      <c r="E122" s="456" t="s">
        <v>1126</v>
      </c>
      <c r="F122" s="457" t="s">
        <v>1127</v>
      </c>
      <c r="G122" s="458">
        <v>-12350000</v>
      </c>
      <c r="H122" s="461">
        <v>-28.65</v>
      </c>
      <c r="I122" s="458">
        <v>-12349971.35</v>
      </c>
      <c r="J122" s="456" t="s">
        <v>1128</v>
      </c>
      <c r="K122" s="456" t="s">
        <v>778</v>
      </c>
      <c r="L122" s="456" t="s">
        <v>164</v>
      </c>
    </row>
    <row r="123" spans="1:12" x14ac:dyDescent="0.2">
      <c r="A123" s="456" t="s">
        <v>778</v>
      </c>
      <c r="B123" s="456" t="s">
        <v>1122</v>
      </c>
      <c r="C123" s="456" t="s">
        <v>779</v>
      </c>
      <c r="D123" s="456" t="s">
        <v>784</v>
      </c>
      <c r="E123" s="456" t="s">
        <v>1129</v>
      </c>
      <c r="F123" s="457" t="s">
        <v>1130</v>
      </c>
      <c r="G123" s="461">
        <v>0.06</v>
      </c>
      <c r="H123" s="461">
        <v>-0.06</v>
      </c>
      <c r="I123" s="461">
        <v>0.12</v>
      </c>
      <c r="J123" s="456" t="s">
        <v>1131</v>
      </c>
      <c r="K123" s="456" t="s">
        <v>778</v>
      </c>
      <c r="L123" s="456" t="s">
        <v>164</v>
      </c>
    </row>
    <row r="124" spans="1:12" x14ac:dyDescent="0.2">
      <c r="A124" s="456" t="s">
        <v>778</v>
      </c>
      <c r="B124" s="456" t="s">
        <v>1122</v>
      </c>
      <c r="C124" s="456" t="s">
        <v>779</v>
      </c>
      <c r="D124" s="456" t="s">
        <v>780</v>
      </c>
      <c r="E124" s="456" t="s">
        <v>1132</v>
      </c>
      <c r="F124" s="457" t="s">
        <v>1133</v>
      </c>
      <c r="G124" s="458">
        <v>-876764.92</v>
      </c>
      <c r="H124" s="458">
        <v>-479843.72</v>
      </c>
      <c r="I124" s="458">
        <v>-396921.2</v>
      </c>
      <c r="J124" s="456" t="s">
        <v>846</v>
      </c>
      <c r="K124" s="456" t="s">
        <v>778</v>
      </c>
      <c r="L124" s="456" t="s">
        <v>164</v>
      </c>
    </row>
    <row r="125" spans="1:12" x14ac:dyDescent="0.2">
      <c r="A125" s="456" t="s">
        <v>778</v>
      </c>
      <c r="B125" s="456" t="s">
        <v>1122</v>
      </c>
      <c r="C125" s="456" t="s">
        <v>779</v>
      </c>
      <c r="D125" s="456" t="s">
        <v>780</v>
      </c>
      <c r="E125" s="456" t="s">
        <v>1134</v>
      </c>
      <c r="F125" s="457" t="s">
        <v>1135</v>
      </c>
      <c r="G125" s="458">
        <v>-1263399.24</v>
      </c>
      <c r="H125" s="458">
        <v>-3569073.43</v>
      </c>
      <c r="I125" s="458">
        <v>2305674.19</v>
      </c>
      <c r="J125" s="456" t="s">
        <v>1136</v>
      </c>
      <c r="K125" s="456" t="s">
        <v>778</v>
      </c>
      <c r="L125" s="456" t="s">
        <v>164</v>
      </c>
    </row>
    <row r="126" spans="1:12" x14ac:dyDescent="0.2">
      <c r="A126" s="456" t="s">
        <v>778</v>
      </c>
      <c r="B126" s="456" t="s">
        <v>1122</v>
      </c>
      <c r="C126" s="456" t="s">
        <v>779</v>
      </c>
      <c r="D126" s="456" t="s">
        <v>780</v>
      </c>
      <c r="E126" s="456" t="s">
        <v>1137</v>
      </c>
      <c r="F126" s="457" t="s">
        <v>1138</v>
      </c>
      <c r="G126" s="458">
        <v>-127501.78</v>
      </c>
      <c r="H126" s="458">
        <v>-155891.07999999999</v>
      </c>
      <c r="I126" s="458">
        <v>28389.3</v>
      </c>
      <c r="J126" s="456" t="s">
        <v>1139</v>
      </c>
      <c r="K126" s="456" t="s">
        <v>778</v>
      </c>
      <c r="L126" s="456" t="s">
        <v>164</v>
      </c>
    </row>
    <row r="127" spans="1:12" x14ac:dyDescent="0.2">
      <c r="A127" s="456" t="s">
        <v>778</v>
      </c>
      <c r="B127" s="456" t="s">
        <v>1122</v>
      </c>
      <c r="C127" s="456" t="s">
        <v>779</v>
      </c>
      <c r="D127" s="456" t="s">
        <v>780</v>
      </c>
      <c r="E127" s="456" t="s">
        <v>1140</v>
      </c>
      <c r="F127" s="457" t="s">
        <v>1141</v>
      </c>
      <c r="G127" s="458">
        <v>-1207042.6200000001</v>
      </c>
      <c r="H127" s="458">
        <v>-1301680.6100000001</v>
      </c>
      <c r="I127" s="458">
        <v>94637.99</v>
      </c>
      <c r="J127" s="456" t="s">
        <v>1142</v>
      </c>
      <c r="K127" s="456" t="s">
        <v>778</v>
      </c>
      <c r="L127" s="456" t="s">
        <v>164</v>
      </c>
    </row>
    <row r="128" spans="1:12" x14ac:dyDescent="0.2">
      <c r="A128" s="456" t="s">
        <v>778</v>
      </c>
      <c r="B128" s="456" t="s">
        <v>1122</v>
      </c>
      <c r="C128" s="456" t="s">
        <v>779</v>
      </c>
      <c r="D128" s="456" t="s">
        <v>780</v>
      </c>
      <c r="E128" s="456" t="s">
        <v>1143</v>
      </c>
      <c r="F128" s="457" t="s">
        <v>1144</v>
      </c>
      <c r="G128" s="458">
        <v>3229704.37</v>
      </c>
      <c r="H128" s="458">
        <v>-1466019.24</v>
      </c>
      <c r="I128" s="458">
        <v>4695723.6100000003</v>
      </c>
      <c r="J128" s="456" t="s">
        <v>1145</v>
      </c>
      <c r="K128" s="456" t="s">
        <v>778</v>
      </c>
      <c r="L128" s="456" t="s">
        <v>164</v>
      </c>
    </row>
    <row r="129" spans="1:12" x14ac:dyDescent="0.2">
      <c r="A129" s="456" t="s">
        <v>778</v>
      </c>
      <c r="B129" s="456" t="s">
        <v>1122</v>
      </c>
      <c r="C129" s="456" t="s">
        <v>779</v>
      </c>
      <c r="D129" s="456" t="s">
        <v>780</v>
      </c>
      <c r="E129" s="456" t="s">
        <v>1146</v>
      </c>
      <c r="F129" s="457" t="s">
        <v>1147</v>
      </c>
      <c r="G129" s="458">
        <v>3000218.21</v>
      </c>
      <c r="H129" s="458">
        <v>5894.89</v>
      </c>
      <c r="I129" s="458">
        <v>2994323.32</v>
      </c>
      <c r="J129" s="456" t="s">
        <v>1148</v>
      </c>
      <c r="K129" s="456" t="s">
        <v>778</v>
      </c>
      <c r="L129" s="456" t="s">
        <v>164</v>
      </c>
    </row>
    <row r="130" spans="1:12" x14ac:dyDescent="0.2">
      <c r="A130" s="456" t="s">
        <v>778</v>
      </c>
      <c r="B130" s="456" t="s">
        <v>1122</v>
      </c>
      <c r="C130" s="456" t="s">
        <v>779</v>
      </c>
      <c r="D130" s="456" t="s">
        <v>780</v>
      </c>
      <c r="E130" s="456" t="s">
        <v>1149</v>
      </c>
      <c r="F130" s="457" t="s">
        <v>1150</v>
      </c>
      <c r="G130" s="458">
        <v>-19531.66</v>
      </c>
      <c r="H130" s="458">
        <v>15787.88</v>
      </c>
      <c r="I130" s="458">
        <v>-35319.54</v>
      </c>
      <c r="J130" s="456" t="s">
        <v>1151</v>
      </c>
      <c r="K130" s="456" t="s">
        <v>778</v>
      </c>
      <c r="L130" s="456" t="s">
        <v>164</v>
      </c>
    </row>
    <row r="131" spans="1:12" x14ac:dyDescent="0.2">
      <c r="A131" s="459" t="s">
        <v>794</v>
      </c>
      <c r="B131" s="459" t="s">
        <v>1122</v>
      </c>
      <c r="C131" s="459" t="s">
        <v>299</v>
      </c>
      <c r="D131" s="459" t="s">
        <v>299</v>
      </c>
      <c r="E131" s="459" t="s">
        <v>299</v>
      </c>
      <c r="F131" s="457" t="s">
        <v>1152</v>
      </c>
      <c r="G131" s="460">
        <v>-13096944.359999999</v>
      </c>
      <c r="H131" s="460">
        <v>-25232821.449999999</v>
      </c>
      <c r="I131" s="460">
        <v>12135877.09</v>
      </c>
      <c r="J131" s="459" t="s">
        <v>1153</v>
      </c>
      <c r="K131" s="459" t="s">
        <v>778</v>
      </c>
      <c r="L131" s="459" t="s">
        <v>164</v>
      </c>
    </row>
    <row r="132" spans="1:12" x14ac:dyDescent="0.2">
      <c r="A132" s="456" t="s">
        <v>778</v>
      </c>
      <c r="B132" s="456" t="s">
        <v>1154</v>
      </c>
      <c r="C132" s="456" t="s">
        <v>779</v>
      </c>
      <c r="D132" s="456" t="s">
        <v>780</v>
      </c>
      <c r="E132" s="456" t="s">
        <v>1155</v>
      </c>
      <c r="F132" s="457" t="s">
        <v>1156</v>
      </c>
      <c r="G132" s="458">
        <v>8611731.6099999994</v>
      </c>
      <c r="H132" s="458">
        <v>-11405686.5</v>
      </c>
      <c r="I132" s="458">
        <v>20017418.109999999</v>
      </c>
      <c r="J132" s="456" t="s">
        <v>1157</v>
      </c>
      <c r="K132" s="456" t="s">
        <v>778</v>
      </c>
      <c r="L132" s="456" t="s">
        <v>164</v>
      </c>
    </row>
    <row r="133" spans="1:12" x14ac:dyDescent="0.2">
      <c r="A133" s="459" t="s">
        <v>794</v>
      </c>
      <c r="B133" s="459" t="s">
        <v>1154</v>
      </c>
      <c r="C133" s="459" t="s">
        <v>299</v>
      </c>
      <c r="D133" s="459" t="s">
        <v>299</v>
      </c>
      <c r="E133" s="459" t="s">
        <v>299</v>
      </c>
      <c r="F133" s="457" t="s">
        <v>1158</v>
      </c>
      <c r="G133" s="460">
        <v>8611731.6099999994</v>
      </c>
      <c r="H133" s="460">
        <v>-11405686.5</v>
      </c>
      <c r="I133" s="460">
        <v>20017418.109999999</v>
      </c>
      <c r="J133" s="459" t="s">
        <v>1157</v>
      </c>
      <c r="K133" s="459" t="s">
        <v>778</v>
      </c>
      <c r="L133" s="459" t="s">
        <v>164</v>
      </c>
    </row>
    <row r="134" spans="1:12" x14ac:dyDescent="0.2">
      <c r="A134" s="459" t="s">
        <v>848</v>
      </c>
      <c r="B134" s="459" t="s">
        <v>1159</v>
      </c>
      <c r="C134" s="459" t="s">
        <v>299</v>
      </c>
      <c r="D134" s="459" t="s">
        <v>299</v>
      </c>
      <c r="E134" s="459" t="s">
        <v>299</v>
      </c>
      <c r="F134" s="457" t="s">
        <v>1160</v>
      </c>
      <c r="G134" s="460">
        <v>5533646.4500000002</v>
      </c>
      <c r="H134" s="460">
        <v>-2397890.4900000002</v>
      </c>
      <c r="I134" s="460">
        <v>7931536.9400000004</v>
      </c>
      <c r="J134" s="459" t="s">
        <v>1161</v>
      </c>
      <c r="K134" s="459" t="s">
        <v>778</v>
      </c>
      <c r="L134" s="459" t="s">
        <v>164</v>
      </c>
    </row>
    <row r="135" spans="1:12" x14ac:dyDescent="0.2">
      <c r="A135" s="459" t="s">
        <v>1162</v>
      </c>
      <c r="B135" s="459" t="s">
        <v>1163</v>
      </c>
      <c r="C135" s="459" t="s">
        <v>299</v>
      </c>
      <c r="D135" s="459" t="s">
        <v>299</v>
      </c>
      <c r="E135" s="459" t="s">
        <v>299</v>
      </c>
      <c r="F135" s="457" t="s">
        <v>1164</v>
      </c>
      <c r="G135" s="460">
        <v>-264074328.56</v>
      </c>
      <c r="H135" s="460">
        <v>-1257213582.7</v>
      </c>
      <c r="I135" s="460">
        <v>993139254.13999999</v>
      </c>
      <c r="J135" s="459" t="s">
        <v>1165</v>
      </c>
      <c r="K135" s="459" t="s">
        <v>778</v>
      </c>
      <c r="L135" s="459" t="s">
        <v>164</v>
      </c>
    </row>
    <row r="136" spans="1:12" x14ac:dyDescent="0.2">
      <c r="A136" s="456" t="s">
        <v>778</v>
      </c>
      <c r="B136" s="456" t="s">
        <v>1166</v>
      </c>
      <c r="C136" s="456" t="s">
        <v>779</v>
      </c>
      <c r="D136" s="456" t="s">
        <v>780</v>
      </c>
      <c r="E136" s="456" t="s">
        <v>1167</v>
      </c>
      <c r="F136" s="457" t="s">
        <v>1168</v>
      </c>
      <c r="G136" s="458">
        <v>21839586.870000001</v>
      </c>
      <c r="H136" s="458">
        <v>65402198.57</v>
      </c>
      <c r="I136" s="458">
        <v>-43562611.700000003</v>
      </c>
      <c r="J136" s="456" t="s">
        <v>1169</v>
      </c>
      <c r="K136" s="456" t="s">
        <v>778</v>
      </c>
      <c r="L136" s="456" t="s">
        <v>164</v>
      </c>
    </row>
    <row r="137" spans="1:12" x14ac:dyDescent="0.2">
      <c r="A137" s="456" t="s">
        <v>778</v>
      </c>
      <c r="B137" s="456" t="s">
        <v>1166</v>
      </c>
      <c r="C137" s="456" t="s">
        <v>779</v>
      </c>
      <c r="D137" s="456" t="s">
        <v>780</v>
      </c>
      <c r="E137" s="456" t="s">
        <v>1170</v>
      </c>
      <c r="F137" s="457" t="s">
        <v>1171</v>
      </c>
      <c r="G137" s="458">
        <v>393079.23</v>
      </c>
      <c r="H137" s="458">
        <v>738918.16</v>
      </c>
      <c r="I137" s="458">
        <v>-345838.93</v>
      </c>
      <c r="J137" s="456" t="s">
        <v>1172</v>
      </c>
      <c r="K137" s="456" t="s">
        <v>778</v>
      </c>
      <c r="L137" s="456" t="s">
        <v>164</v>
      </c>
    </row>
    <row r="138" spans="1:12" x14ac:dyDescent="0.2">
      <c r="A138" s="456" t="s">
        <v>778</v>
      </c>
      <c r="B138" s="456" t="s">
        <v>1166</v>
      </c>
      <c r="C138" s="456" t="s">
        <v>779</v>
      </c>
      <c r="D138" s="456" t="s">
        <v>784</v>
      </c>
      <c r="E138" s="456" t="s">
        <v>1173</v>
      </c>
      <c r="F138" s="457" t="s">
        <v>1174</v>
      </c>
      <c r="G138" s="458">
        <v>-47973.38</v>
      </c>
      <c r="H138" s="458">
        <v>-257021.3</v>
      </c>
      <c r="I138" s="458">
        <v>209047.92</v>
      </c>
      <c r="J138" s="456" t="s">
        <v>1175</v>
      </c>
      <c r="K138" s="456" t="s">
        <v>778</v>
      </c>
      <c r="L138" s="456" t="s">
        <v>164</v>
      </c>
    </row>
    <row r="139" spans="1:12" x14ac:dyDescent="0.2">
      <c r="A139" s="456" t="s">
        <v>778</v>
      </c>
      <c r="B139" s="456" t="s">
        <v>1166</v>
      </c>
      <c r="C139" s="456" t="s">
        <v>779</v>
      </c>
      <c r="D139" s="456" t="s">
        <v>780</v>
      </c>
      <c r="E139" s="456" t="s">
        <v>1176</v>
      </c>
      <c r="F139" s="457" t="s">
        <v>1177</v>
      </c>
      <c r="G139" s="458">
        <v>3947.24</v>
      </c>
      <c r="H139" s="458">
        <v>17327.25</v>
      </c>
      <c r="I139" s="458">
        <v>-13380.01</v>
      </c>
      <c r="J139" s="456" t="s">
        <v>1178</v>
      </c>
      <c r="K139" s="456" t="s">
        <v>778</v>
      </c>
      <c r="L139" s="456" t="s">
        <v>164</v>
      </c>
    </row>
    <row r="140" spans="1:12" x14ac:dyDescent="0.2">
      <c r="A140" s="456" t="s">
        <v>778</v>
      </c>
      <c r="B140" s="456" t="s">
        <v>1166</v>
      </c>
      <c r="C140" s="456" t="s">
        <v>779</v>
      </c>
      <c r="D140" s="456" t="s">
        <v>780</v>
      </c>
      <c r="E140" s="456" t="s">
        <v>1179</v>
      </c>
      <c r="F140" s="457" t="s">
        <v>1180</v>
      </c>
      <c r="G140" s="458">
        <v>15157232.609999999</v>
      </c>
      <c r="H140" s="458">
        <v>28303505.780000001</v>
      </c>
      <c r="I140" s="458">
        <v>-13146273.17</v>
      </c>
      <c r="J140" s="456" t="s">
        <v>1181</v>
      </c>
      <c r="K140" s="456" t="s">
        <v>778</v>
      </c>
      <c r="L140" s="456" t="s">
        <v>164</v>
      </c>
    </row>
    <row r="141" spans="1:12" x14ac:dyDescent="0.2">
      <c r="A141" s="456" t="s">
        <v>778</v>
      </c>
      <c r="B141" s="456" t="s">
        <v>1166</v>
      </c>
      <c r="C141" s="456" t="s">
        <v>779</v>
      </c>
      <c r="D141" s="456" t="s">
        <v>780</v>
      </c>
      <c r="E141" s="456" t="s">
        <v>1182</v>
      </c>
      <c r="F141" s="457" t="s">
        <v>1183</v>
      </c>
      <c r="G141" s="458">
        <v>1480</v>
      </c>
      <c r="H141" s="458">
        <v>75351.320000000007</v>
      </c>
      <c r="I141" s="458">
        <v>-73871.320000000007</v>
      </c>
      <c r="J141" s="456" t="s">
        <v>1184</v>
      </c>
      <c r="K141" s="456" t="s">
        <v>778</v>
      </c>
      <c r="L141" s="456" t="s">
        <v>164</v>
      </c>
    </row>
    <row r="142" spans="1:12" x14ac:dyDescent="0.2">
      <c r="A142" s="456" t="s">
        <v>778</v>
      </c>
      <c r="B142" s="456" t="s">
        <v>1166</v>
      </c>
      <c r="C142" s="456" t="s">
        <v>779</v>
      </c>
      <c r="D142" s="456" t="s">
        <v>780</v>
      </c>
      <c r="E142" s="456" t="s">
        <v>1185</v>
      </c>
      <c r="F142" s="457" t="s">
        <v>1186</v>
      </c>
      <c r="G142" s="458">
        <v>298827.58</v>
      </c>
      <c r="H142" s="458">
        <v>17136.8</v>
      </c>
      <c r="I142" s="458">
        <v>281690.78000000003</v>
      </c>
      <c r="J142" s="456" t="s">
        <v>1187</v>
      </c>
      <c r="K142" s="456" t="s">
        <v>778</v>
      </c>
      <c r="L142" s="456" t="s">
        <v>164</v>
      </c>
    </row>
    <row r="143" spans="1:12" x14ac:dyDescent="0.2">
      <c r="A143" s="456" t="s">
        <v>778</v>
      </c>
      <c r="B143" s="456" t="s">
        <v>1166</v>
      </c>
      <c r="C143" s="456" t="s">
        <v>779</v>
      </c>
      <c r="D143" s="456" t="s">
        <v>784</v>
      </c>
      <c r="E143" s="456" t="s">
        <v>1188</v>
      </c>
      <c r="F143" s="457" t="s">
        <v>1189</v>
      </c>
      <c r="G143" s="458">
        <v>-231172.81</v>
      </c>
      <c r="H143" s="458">
        <v>-682856.71</v>
      </c>
      <c r="I143" s="458">
        <v>451683.9</v>
      </c>
      <c r="J143" s="456" t="s">
        <v>1190</v>
      </c>
      <c r="K143" s="456" t="s">
        <v>778</v>
      </c>
      <c r="L143" s="456" t="s">
        <v>164</v>
      </c>
    </row>
    <row r="144" spans="1:12" x14ac:dyDescent="0.2">
      <c r="A144" s="456" t="s">
        <v>778</v>
      </c>
      <c r="B144" s="456" t="s">
        <v>1166</v>
      </c>
      <c r="C144" s="456" t="s">
        <v>779</v>
      </c>
      <c r="D144" s="456" t="s">
        <v>987</v>
      </c>
      <c r="E144" s="456" t="s">
        <v>1191</v>
      </c>
      <c r="F144" s="457" t="s">
        <v>1192</v>
      </c>
      <c r="G144" s="461">
        <v>0</v>
      </c>
      <c r="H144" s="458">
        <v>1060.5999999999999</v>
      </c>
      <c r="I144" s="458">
        <v>-1060.5999999999999</v>
      </c>
      <c r="J144" s="456" t="s">
        <v>826</v>
      </c>
      <c r="K144" s="456" t="s">
        <v>778</v>
      </c>
      <c r="L144" s="456" t="s">
        <v>164</v>
      </c>
    </row>
    <row r="145" spans="1:12" x14ac:dyDescent="0.2">
      <c r="A145" s="456" t="s">
        <v>778</v>
      </c>
      <c r="B145" s="456" t="s">
        <v>1166</v>
      </c>
      <c r="C145" s="456" t="s">
        <v>779</v>
      </c>
      <c r="D145" s="456" t="s">
        <v>780</v>
      </c>
      <c r="E145" s="456" t="s">
        <v>1193</v>
      </c>
      <c r="F145" s="457" t="s">
        <v>1194</v>
      </c>
      <c r="G145" s="458">
        <v>185747.22</v>
      </c>
      <c r="H145" s="461">
        <v>0</v>
      </c>
      <c r="I145" s="458">
        <v>185747.22</v>
      </c>
      <c r="J145" s="456" t="s">
        <v>299</v>
      </c>
      <c r="K145" s="456" t="s">
        <v>778</v>
      </c>
      <c r="L145" s="456" t="s">
        <v>164</v>
      </c>
    </row>
    <row r="146" spans="1:12" x14ac:dyDescent="0.2">
      <c r="A146" s="456" t="s">
        <v>778</v>
      </c>
      <c r="B146" s="456" t="s">
        <v>1166</v>
      </c>
      <c r="C146" s="456" t="s">
        <v>779</v>
      </c>
      <c r="D146" s="456" t="s">
        <v>780</v>
      </c>
      <c r="E146" s="456" t="s">
        <v>1195</v>
      </c>
      <c r="F146" s="457" t="s">
        <v>1196</v>
      </c>
      <c r="G146" s="458">
        <v>75141.259999999995</v>
      </c>
      <c r="H146" s="458">
        <v>5778.94</v>
      </c>
      <c r="I146" s="458">
        <v>69362.320000000007</v>
      </c>
      <c r="J146" s="456" t="s">
        <v>1197</v>
      </c>
      <c r="K146" s="456" t="s">
        <v>778</v>
      </c>
      <c r="L146" s="456" t="s">
        <v>164</v>
      </c>
    </row>
    <row r="147" spans="1:12" x14ac:dyDescent="0.2">
      <c r="A147" s="456" t="s">
        <v>778</v>
      </c>
      <c r="B147" s="456" t="s">
        <v>1166</v>
      </c>
      <c r="C147" s="456" t="s">
        <v>779</v>
      </c>
      <c r="D147" s="456" t="s">
        <v>780</v>
      </c>
      <c r="E147" s="456" t="s">
        <v>1198</v>
      </c>
      <c r="F147" s="457" t="s">
        <v>1199</v>
      </c>
      <c r="G147" s="458">
        <v>8629516.5399999991</v>
      </c>
      <c r="H147" s="458">
        <v>16314383.699999999</v>
      </c>
      <c r="I147" s="458">
        <v>-7684867.1600000001</v>
      </c>
      <c r="J147" s="456" t="s">
        <v>1200</v>
      </c>
      <c r="K147" s="456" t="s">
        <v>778</v>
      </c>
      <c r="L147" s="456" t="s">
        <v>164</v>
      </c>
    </row>
    <row r="148" spans="1:12" x14ac:dyDescent="0.2">
      <c r="A148" s="456" t="s">
        <v>778</v>
      </c>
      <c r="B148" s="456" t="s">
        <v>1166</v>
      </c>
      <c r="C148" s="456" t="s">
        <v>779</v>
      </c>
      <c r="D148" s="456" t="s">
        <v>780</v>
      </c>
      <c r="E148" s="456" t="s">
        <v>1201</v>
      </c>
      <c r="F148" s="457" t="s">
        <v>1202</v>
      </c>
      <c r="G148" s="461">
        <v>0</v>
      </c>
      <c r="H148" s="458">
        <v>-99807.42</v>
      </c>
      <c r="I148" s="458">
        <v>99807.42</v>
      </c>
      <c r="J148" s="456" t="s">
        <v>810</v>
      </c>
      <c r="K148" s="456" t="s">
        <v>778</v>
      </c>
      <c r="L148" s="456" t="s">
        <v>164</v>
      </c>
    </row>
    <row r="149" spans="1:12" x14ac:dyDescent="0.2">
      <c r="A149" s="456" t="s">
        <v>778</v>
      </c>
      <c r="B149" s="456" t="s">
        <v>1166</v>
      </c>
      <c r="C149" s="456" t="s">
        <v>779</v>
      </c>
      <c r="D149" s="456" t="s">
        <v>780</v>
      </c>
      <c r="E149" s="456" t="s">
        <v>1203</v>
      </c>
      <c r="F149" s="457" t="s">
        <v>1204</v>
      </c>
      <c r="G149" s="458">
        <v>2956467.41</v>
      </c>
      <c r="H149" s="458">
        <v>5350438.37</v>
      </c>
      <c r="I149" s="458">
        <v>-2393970.96</v>
      </c>
      <c r="J149" s="456" t="s">
        <v>1205</v>
      </c>
      <c r="K149" s="456" t="s">
        <v>778</v>
      </c>
      <c r="L149" s="456" t="s">
        <v>164</v>
      </c>
    </row>
    <row r="150" spans="1:12" x14ac:dyDescent="0.2">
      <c r="A150" s="456" t="s">
        <v>778</v>
      </c>
      <c r="B150" s="456" t="s">
        <v>1166</v>
      </c>
      <c r="C150" s="456" t="s">
        <v>779</v>
      </c>
      <c r="D150" s="456" t="s">
        <v>780</v>
      </c>
      <c r="E150" s="456" t="s">
        <v>1206</v>
      </c>
      <c r="F150" s="457" t="s">
        <v>1207</v>
      </c>
      <c r="G150" s="458">
        <v>517689.14</v>
      </c>
      <c r="H150" s="458">
        <v>856442.08</v>
      </c>
      <c r="I150" s="458">
        <v>-338752.94</v>
      </c>
      <c r="J150" s="456" t="s">
        <v>1208</v>
      </c>
      <c r="K150" s="456" t="s">
        <v>778</v>
      </c>
      <c r="L150" s="456" t="s">
        <v>164</v>
      </c>
    </row>
    <row r="151" spans="1:12" x14ac:dyDescent="0.2">
      <c r="A151" s="456" t="s">
        <v>778</v>
      </c>
      <c r="B151" s="456" t="s">
        <v>1166</v>
      </c>
      <c r="C151" s="456" t="s">
        <v>779</v>
      </c>
      <c r="D151" s="456" t="s">
        <v>780</v>
      </c>
      <c r="E151" s="456" t="s">
        <v>1209</v>
      </c>
      <c r="F151" s="457" t="s">
        <v>1210</v>
      </c>
      <c r="G151" s="458">
        <v>448045.88</v>
      </c>
      <c r="H151" s="458">
        <v>1087524.4099999999</v>
      </c>
      <c r="I151" s="458">
        <v>-639478.53</v>
      </c>
      <c r="J151" s="456" t="s">
        <v>1211</v>
      </c>
      <c r="K151" s="456" t="s">
        <v>778</v>
      </c>
      <c r="L151" s="456" t="s">
        <v>164</v>
      </c>
    </row>
    <row r="152" spans="1:12" x14ac:dyDescent="0.2">
      <c r="A152" s="456" t="s">
        <v>778</v>
      </c>
      <c r="B152" s="456" t="s">
        <v>1166</v>
      </c>
      <c r="C152" s="456" t="s">
        <v>779</v>
      </c>
      <c r="D152" s="456" t="s">
        <v>780</v>
      </c>
      <c r="E152" s="456" t="s">
        <v>1212</v>
      </c>
      <c r="F152" s="457" t="s">
        <v>1213</v>
      </c>
      <c r="G152" s="458">
        <v>-645684.75</v>
      </c>
      <c r="H152" s="458">
        <v>1222952.5</v>
      </c>
      <c r="I152" s="458">
        <v>-1868637.25</v>
      </c>
      <c r="J152" s="456" t="s">
        <v>1214</v>
      </c>
      <c r="K152" s="456" t="s">
        <v>778</v>
      </c>
      <c r="L152" s="456" t="s">
        <v>164</v>
      </c>
    </row>
    <row r="153" spans="1:12" x14ac:dyDescent="0.2">
      <c r="A153" s="456" t="s">
        <v>778</v>
      </c>
      <c r="B153" s="456" t="s">
        <v>1166</v>
      </c>
      <c r="C153" s="456" t="s">
        <v>779</v>
      </c>
      <c r="D153" s="456" t="s">
        <v>780</v>
      </c>
      <c r="E153" s="456" t="s">
        <v>1215</v>
      </c>
      <c r="F153" s="457" t="s">
        <v>1216</v>
      </c>
      <c r="G153" s="458">
        <v>4471862.62</v>
      </c>
      <c r="H153" s="458">
        <v>7624013.0899999999</v>
      </c>
      <c r="I153" s="458">
        <v>-3152150.47</v>
      </c>
      <c r="J153" s="456" t="s">
        <v>1217</v>
      </c>
      <c r="K153" s="456" t="s">
        <v>778</v>
      </c>
      <c r="L153" s="456" t="s">
        <v>164</v>
      </c>
    </row>
    <row r="154" spans="1:12" x14ac:dyDescent="0.2">
      <c r="A154" s="456" t="s">
        <v>778</v>
      </c>
      <c r="B154" s="456" t="s">
        <v>1166</v>
      </c>
      <c r="C154" s="456" t="s">
        <v>779</v>
      </c>
      <c r="D154" s="456" t="s">
        <v>780</v>
      </c>
      <c r="E154" s="456" t="s">
        <v>1218</v>
      </c>
      <c r="F154" s="457" t="s">
        <v>1219</v>
      </c>
      <c r="G154" s="461">
        <v>0</v>
      </c>
      <c r="H154" s="458">
        <v>1948.8</v>
      </c>
      <c r="I154" s="458">
        <v>-1948.8</v>
      </c>
      <c r="J154" s="456" t="s">
        <v>826</v>
      </c>
      <c r="K154" s="456" t="s">
        <v>778</v>
      </c>
      <c r="L154" s="456" t="s">
        <v>164</v>
      </c>
    </row>
    <row r="155" spans="1:12" x14ac:dyDescent="0.2">
      <c r="A155" s="456" t="s">
        <v>778</v>
      </c>
      <c r="B155" s="456" t="s">
        <v>1166</v>
      </c>
      <c r="C155" s="456" t="s">
        <v>779</v>
      </c>
      <c r="D155" s="456" t="s">
        <v>1220</v>
      </c>
      <c r="E155" s="456" t="s">
        <v>1221</v>
      </c>
      <c r="F155" s="457" t="s">
        <v>1222</v>
      </c>
      <c r="G155" s="458">
        <v>1201238</v>
      </c>
      <c r="H155" s="458">
        <v>2776297.26</v>
      </c>
      <c r="I155" s="458">
        <v>-1575059.26</v>
      </c>
      <c r="J155" s="456" t="s">
        <v>1223</v>
      </c>
      <c r="K155" s="456" t="s">
        <v>778</v>
      </c>
      <c r="L155" s="456" t="s">
        <v>164</v>
      </c>
    </row>
    <row r="156" spans="1:12" x14ac:dyDescent="0.2">
      <c r="A156" s="456" t="s">
        <v>778</v>
      </c>
      <c r="B156" s="456" t="s">
        <v>1166</v>
      </c>
      <c r="C156" s="456" t="s">
        <v>779</v>
      </c>
      <c r="D156" s="456" t="s">
        <v>780</v>
      </c>
      <c r="E156" s="456" t="s">
        <v>1224</v>
      </c>
      <c r="F156" s="457" t="s">
        <v>1225</v>
      </c>
      <c r="G156" s="458">
        <v>81030.77</v>
      </c>
      <c r="H156" s="461">
        <v>0</v>
      </c>
      <c r="I156" s="458">
        <v>81030.77</v>
      </c>
      <c r="J156" s="456" t="s">
        <v>299</v>
      </c>
      <c r="K156" s="456" t="s">
        <v>778</v>
      </c>
      <c r="L156" s="456" t="s">
        <v>164</v>
      </c>
    </row>
    <row r="157" spans="1:12" x14ac:dyDescent="0.2">
      <c r="A157" s="456" t="s">
        <v>778</v>
      </c>
      <c r="B157" s="456" t="s">
        <v>1166</v>
      </c>
      <c r="C157" s="456" t="s">
        <v>779</v>
      </c>
      <c r="D157" s="456" t="s">
        <v>780</v>
      </c>
      <c r="E157" s="456" t="s">
        <v>1226</v>
      </c>
      <c r="F157" s="457" t="s">
        <v>1227</v>
      </c>
      <c r="G157" s="458">
        <v>536872.06000000006</v>
      </c>
      <c r="H157" s="458">
        <v>569622.62</v>
      </c>
      <c r="I157" s="458">
        <v>-32750.560000000001</v>
      </c>
      <c r="J157" s="456" t="s">
        <v>1228</v>
      </c>
      <c r="K157" s="456" t="s">
        <v>778</v>
      </c>
      <c r="L157" s="456" t="s">
        <v>164</v>
      </c>
    </row>
    <row r="158" spans="1:12" x14ac:dyDescent="0.2">
      <c r="A158" s="456" t="s">
        <v>778</v>
      </c>
      <c r="B158" s="456" t="s">
        <v>1166</v>
      </c>
      <c r="C158" s="456" t="s">
        <v>779</v>
      </c>
      <c r="D158" s="456" t="s">
        <v>784</v>
      </c>
      <c r="E158" s="456" t="s">
        <v>1229</v>
      </c>
      <c r="F158" s="457" t="s">
        <v>1230</v>
      </c>
      <c r="G158" s="458">
        <v>4378.79</v>
      </c>
      <c r="H158" s="458">
        <v>118448.26</v>
      </c>
      <c r="I158" s="458">
        <v>-114069.47</v>
      </c>
      <c r="J158" s="456" t="s">
        <v>1231</v>
      </c>
      <c r="K158" s="456" t="s">
        <v>778</v>
      </c>
      <c r="L158" s="456" t="s">
        <v>164</v>
      </c>
    </row>
    <row r="159" spans="1:12" x14ac:dyDescent="0.2">
      <c r="A159" s="456" t="s">
        <v>778</v>
      </c>
      <c r="B159" s="456" t="s">
        <v>1166</v>
      </c>
      <c r="C159" s="456" t="s">
        <v>779</v>
      </c>
      <c r="D159" s="456" t="s">
        <v>784</v>
      </c>
      <c r="E159" s="456" t="s">
        <v>1232</v>
      </c>
      <c r="F159" s="457" t="s">
        <v>1233</v>
      </c>
      <c r="G159" s="458">
        <v>4000</v>
      </c>
      <c r="H159" s="461">
        <v>0</v>
      </c>
      <c r="I159" s="458">
        <v>4000</v>
      </c>
      <c r="J159" s="456" t="s">
        <v>299</v>
      </c>
      <c r="K159" s="456" t="s">
        <v>778</v>
      </c>
      <c r="L159" s="456" t="s">
        <v>164</v>
      </c>
    </row>
    <row r="160" spans="1:12" x14ac:dyDescent="0.2">
      <c r="A160" s="456" t="s">
        <v>778</v>
      </c>
      <c r="B160" s="456" t="s">
        <v>1166</v>
      </c>
      <c r="C160" s="456" t="s">
        <v>779</v>
      </c>
      <c r="D160" s="456" t="s">
        <v>780</v>
      </c>
      <c r="E160" s="456" t="s">
        <v>1234</v>
      </c>
      <c r="F160" s="457" t="s">
        <v>1235</v>
      </c>
      <c r="G160" s="458">
        <v>235002</v>
      </c>
      <c r="H160" s="458">
        <v>737904.62</v>
      </c>
      <c r="I160" s="458">
        <v>-502902.62</v>
      </c>
      <c r="J160" s="456" t="s">
        <v>1236</v>
      </c>
      <c r="K160" s="456" t="s">
        <v>778</v>
      </c>
      <c r="L160" s="456" t="s">
        <v>164</v>
      </c>
    </row>
    <row r="161" spans="1:12" x14ac:dyDescent="0.2">
      <c r="A161" s="459" t="s">
        <v>794</v>
      </c>
      <c r="B161" s="459" t="s">
        <v>1166</v>
      </c>
      <c r="C161" s="459" t="s">
        <v>299</v>
      </c>
      <c r="D161" s="459" t="s">
        <v>299</v>
      </c>
      <c r="E161" s="459" t="s">
        <v>299</v>
      </c>
      <c r="F161" s="457" t="s">
        <v>1237</v>
      </c>
      <c r="G161" s="460">
        <v>56116314.280000001</v>
      </c>
      <c r="H161" s="460">
        <v>130181567.7</v>
      </c>
      <c r="I161" s="460">
        <v>-74065253.420000002</v>
      </c>
      <c r="J161" s="459" t="s">
        <v>832</v>
      </c>
      <c r="K161" s="459" t="s">
        <v>778</v>
      </c>
      <c r="L161" s="459" t="s">
        <v>164</v>
      </c>
    </row>
    <row r="162" spans="1:12" x14ac:dyDescent="0.2">
      <c r="A162" s="456" t="s">
        <v>884</v>
      </c>
      <c r="B162" s="456" t="s">
        <v>1238</v>
      </c>
      <c r="C162" s="456" t="s">
        <v>779</v>
      </c>
      <c r="D162" s="456" t="s">
        <v>784</v>
      </c>
      <c r="E162" s="456" t="s">
        <v>1239</v>
      </c>
      <c r="F162" s="457" t="s">
        <v>1240</v>
      </c>
      <c r="G162" s="461">
        <v>0</v>
      </c>
      <c r="H162" s="461">
        <v>45.36</v>
      </c>
      <c r="I162" s="461">
        <v>-45.36</v>
      </c>
      <c r="J162" s="456" t="s">
        <v>826</v>
      </c>
      <c r="K162" s="456" t="s">
        <v>778</v>
      </c>
      <c r="L162" s="456" t="s">
        <v>164</v>
      </c>
    </row>
    <row r="163" spans="1:12" x14ac:dyDescent="0.2">
      <c r="A163" s="456" t="s">
        <v>884</v>
      </c>
      <c r="B163" s="456" t="s">
        <v>1238</v>
      </c>
      <c r="C163" s="456" t="s">
        <v>779</v>
      </c>
      <c r="D163" s="456" t="s">
        <v>780</v>
      </c>
      <c r="E163" s="456" t="s">
        <v>1241</v>
      </c>
      <c r="F163" s="457" t="s">
        <v>1242</v>
      </c>
      <c r="G163" s="458">
        <v>431045.49</v>
      </c>
      <c r="H163" s="458">
        <v>1048036.37</v>
      </c>
      <c r="I163" s="458">
        <v>-616990.88</v>
      </c>
      <c r="J163" s="456" t="s">
        <v>1243</v>
      </c>
      <c r="K163" s="456" t="s">
        <v>778</v>
      </c>
      <c r="L163" s="456" t="s">
        <v>164</v>
      </c>
    </row>
    <row r="164" spans="1:12" x14ac:dyDescent="0.2">
      <c r="A164" s="456" t="s">
        <v>884</v>
      </c>
      <c r="B164" s="456" t="s">
        <v>1238</v>
      </c>
      <c r="C164" s="456" t="s">
        <v>779</v>
      </c>
      <c r="D164" s="456" t="s">
        <v>780</v>
      </c>
      <c r="E164" s="456" t="s">
        <v>1244</v>
      </c>
      <c r="F164" s="457" t="s">
        <v>1245</v>
      </c>
      <c r="G164" s="458">
        <v>915244.46</v>
      </c>
      <c r="H164" s="458">
        <v>1860563.37</v>
      </c>
      <c r="I164" s="458">
        <v>-945318.91</v>
      </c>
      <c r="J164" s="456" t="s">
        <v>1246</v>
      </c>
      <c r="K164" s="456" t="s">
        <v>778</v>
      </c>
      <c r="L164" s="456" t="s">
        <v>164</v>
      </c>
    </row>
    <row r="165" spans="1:12" x14ac:dyDescent="0.2">
      <c r="A165" s="456" t="s">
        <v>884</v>
      </c>
      <c r="B165" s="456" t="s">
        <v>1238</v>
      </c>
      <c r="C165" s="456" t="s">
        <v>779</v>
      </c>
      <c r="D165" s="456" t="s">
        <v>780</v>
      </c>
      <c r="E165" s="456" t="s">
        <v>1247</v>
      </c>
      <c r="F165" s="457" t="s">
        <v>1248</v>
      </c>
      <c r="G165" s="458">
        <v>-23370.42</v>
      </c>
      <c r="H165" s="458">
        <v>-37387.410000000003</v>
      </c>
      <c r="I165" s="458">
        <v>14016.99</v>
      </c>
      <c r="J165" s="456" t="s">
        <v>1104</v>
      </c>
      <c r="K165" s="456" t="s">
        <v>778</v>
      </c>
      <c r="L165" s="456" t="s">
        <v>164</v>
      </c>
    </row>
    <row r="166" spans="1:12" x14ac:dyDescent="0.2">
      <c r="A166" s="459" t="s">
        <v>778</v>
      </c>
      <c r="B166" s="459" t="s">
        <v>1238</v>
      </c>
      <c r="C166" s="459" t="s">
        <v>299</v>
      </c>
      <c r="D166" s="459" t="s">
        <v>299</v>
      </c>
      <c r="E166" s="459" t="s">
        <v>299</v>
      </c>
      <c r="F166" s="457" t="s">
        <v>299</v>
      </c>
      <c r="G166" s="460">
        <v>1322919.53</v>
      </c>
      <c r="H166" s="460">
        <v>2871257.69</v>
      </c>
      <c r="I166" s="460">
        <v>-1548338.16</v>
      </c>
      <c r="J166" s="459" t="s">
        <v>1249</v>
      </c>
      <c r="K166" s="459" t="s">
        <v>778</v>
      </c>
      <c r="L166" s="459" t="s">
        <v>164</v>
      </c>
    </row>
    <row r="167" spans="1:12" x14ac:dyDescent="0.2">
      <c r="A167" s="456" t="s">
        <v>884</v>
      </c>
      <c r="B167" s="456" t="s">
        <v>1250</v>
      </c>
      <c r="C167" s="456" t="s">
        <v>779</v>
      </c>
      <c r="D167" s="456" t="s">
        <v>784</v>
      </c>
      <c r="E167" s="456" t="s">
        <v>1251</v>
      </c>
      <c r="F167" s="457" t="s">
        <v>1252</v>
      </c>
      <c r="G167" s="461">
        <v>0</v>
      </c>
      <c r="H167" s="461">
        <v>150</v>
      </c>
      <c r="I167" s="461">
        <v>-150</v>
      </c>
      <c r="J167" s="456" t="s">
        <v>826</v>
      </c>
      <c r="K167" s="456" t="s">
        <v>778</v>
      </c>
      <c r="L167" s="456" t="s">
        <v>164</v>
      </c>
    </row>
    <row r="168" spans="1:12" x14ac:dyDescent="0.2">
      <c r="A168" s="456" t="s">
        <v>884</v>
      </c>
      <c r="B168" s="456" t="s">
        <v>1250</v>
      </c>
      <c r="C168" s="456" t="s">
        <v>779</v>
      </c>
      <c r="D168" s="456" t="s">
        <v>780</v>
      </c>
      <c r="E168" s="456" t="s">
        <v>1253</v>
      </c>
      <c r="F168" s="457" t="s">
        <v>1254</v>
      </c>
      <c r="G168" s="458">
        <v>270658.28999999998</v>
      </c>
      <c r="H168" s="458">
        <v>570951.15</v>
      </c>
      <c r="I168" s="458">
        <v>-300292.86</v>
      </c>
      <c r="J168" s="456" t="s">
        <v>1255</v>
      </c>
      <c r="K168" s="456" t="s">
        <v>778</v>
      </c>
      <c r="L168" s="456" t="s">
        <v>164</v>
      </c>
    </row>
    <row r="169" spans="1:12" x14ac:dyDescent="0.2">
      <c r="A169" s="456" t="s">
        <v>884</v>
      </c>
      <c r="B169" s="456" t="s">
        <v>1250</v>
      </c>
      <c r="C169" s="456" t="s">
        <v>779</v>
      </c>
      <c r="D169" s="456" t="s">
        <v>780</v>
      </c>
      <c r="E169" s="456" t="s">
        <v>1256</v>
      </c>
      <c r="F169" s="457" t="s">
        <v>1257</v>
      </c>
      <c r="G169" s="458">
        <v>71981.25</v>
      </c>
      <c r="H169" s="458">
        <v>147488.9</v>
      </c>
      <c r="I169" s="458">
        <v>-75507.649999999994</v>
      </c>
      <c r="J169" s="456" t="s">
        <v>1258</v>
      </c>
      <c r="K169" s="456" t="s">
        <v>778</v>
      </c>
      <c r="L169" s="456" t="s">
        <v>164</v>
      </c>
    </row>
    <row r="170" spans="1:12" x14ac:dyDescent="0.2">
      <c r="A170" s="456" t="s">
        <v>884</v>
      </c>
      <c r="B170" s="456" t="s">
        <v>1250</v>
      </c>
      <c r="C170" s="456" t="s">
        <v>779</v>
      </c>
      <c r="D170" s="456" t="s">
        <v>780</v>
      </c>
      <c r="E170" s="456" t="s">
        <v>1259</v>
      </c>
      <c r="F170" s="457" t="s">
        <v>1260</v>
      </c>
      <c r="G170" s="458">
        <v>46684.61</v>
      </c>
      <c r="H170" s="458">
        <v>59632.19</v>
      </c>
      <c r="I170" s="458">
        <v>-12947.58</v>
      </c>
      <c r="J170" s="456" t="s">
        <v>1261</v>
      </c>
      <c r="K170" s="456" t="s">
        <v>778</v>
      </c>
      <c r="L170" s="456" t="s">
        <v>164</v>
      </c>
    </row>
    <row r="171" spans="1:12" x14ac:dyDescent="0.2">
      <c r="A171" s="456" t="s">
        <v>884</v>
      </c>
      <c r="B171" s="456" t="s">
        <v>1250</v>
      </c>
      <c r="C171" s="456" t="s">
        <v>779</v>
      </c>
      <c r="D171" s="456" t="s">
        <v>780</v>
      </c>
      <c r="E171" s="456" t="s">
        <v>1262</v>
      </c>
      <c r="F171" s="457" t="s">
        <v>1263</v>
      </c>
      <c r="G171" s="461">
        <v>575.41</v>
      </c>
      <c r="H171" s="458">
        <v>2053.87</v>
      </c>
      <c r="I171" s="458">
        <v>-1478.46</v>
      </c>
      <c r="J171" s="456" t="s">
        <v>1264</v>
      </c>
      <c r="K171" s="456" t="s">
        <v>778</v>
      </c>
      <c r="L171" s="456" t="s">
        <v>164</v>
      </c>
    </row>
    <row r="172" spans="1:12" x14ac:dyDescent="0.2">
      <c r="A172" s="456" t="s">
        <v>884</v>
      </c>
      <c r="B172" s="456" t="s">
        <v>1250</v>
      </c>
      <c r="C172" s="456" t="s">
        <v>779</v>
      </c>
      <c r="D172" s="456" t="s">
        <v>780</v>
      </c>
      <c r="E172" s="456" t="s">
        <v>1265</v>
      </c>
      <c r="F172" s="457" t="s">
        <v>1266</v>
      </c>
      <c r="G172" s="458">
        <v>107301.51</v>
      </c>
      <c r="H172" s="458">
        <v>162436.82</v>
      </c>
      <c r="I172" s="458">
        <v>-55135.31</v>
      </c>
      <c r="J172" s="456" t="s">
        <v>1267</v>
      </c>
      <c r="K172" s="456" t="s">
        <v>778</v>
      </c>
      <c r="L172" s="456" t="s">
        <v>164</v>
      </c>
    </row>
    <row r="173" spans="1:12" x14ac:dyDescent="0.2">
      <c r="A173" s="456" t="s">
        <v>884</v>
      </c>
      <c r="B173" s="456" t="s">
        <v>1250</v>
      </c>
      <c r="C173" s="456" t="s">
        <v>779</v>
      </c>
      <c r="D173" s="456" t="s">
        <v>780</v>
      </c>
      <c r="E173" s="456" t="s">
        <v>1268</v>
      </c>
      <c r="F173" s="457" t="s">
        <v>1269</v>
      </c>
      <c r="G173" s="458">
        <v>58167.28</v>
      </c>
      <c r="H173" s="458">
        <v>113743.06</v>
      </c>
      <c r="I173" s="458">
        <v>-55575.78</v>
      </c>
      <c r="J173" s="456" t="s">
        <v>1270</v>
      </c>
      <c r="K173" s="456" t="s">
        <v>778</v>
      </c>
      <c r="L173" s="456" t="s">
        <v>164</v>
      </c>
    </row>
    <row r="174" spans="1:12" x14ac:dyDescent="0.2">
      <c r="A174" s="456" t="s">
        <v>884</v>
      </c>
      <c r="B174" s="456" t="s">
        <v>1250</v>
      </c>
      <c r="C174" s="456" t="s">
        <v>779</v>
      </c>
      <c r="D174" s="456" t="s">
        <v>780</v>
      </c>
      <c r="E174" s="456" t="s">
        <v>1271</v>
      </c>
      <c r="F174" s="457" t="s">
        <v>1272</v>
      </c>
      <c r="G174" s="458">
        <v>31040.2</v>
      </c>
      <c r="H174" s="458">
        <v>2786340.33</v>
      </c>
      <c r="I174" s="458">
        <v>-2755300.13</v>
      </c>
      <c r="J174" s="456" t="s">
        <v>1273</v>
      </c>
      <c r="K174" s="456" t="s">
        <v>778</v>
      </c>
      <c r="L174" s="456" t="s">
        <v>164</v>
      </c>
    </row>
    <row r="175" spans="1:12" x14ac:dyDescent="0.2">
      <c r="A175" s="456" t="s">
        <v>884</v>
      </c>
      <c r="B175" s="456" t="s">
        <v>1250</v>
      </c>
      <c r="C175" s="456" t="s">
        <v>779</v>
      </c>
      <c r="D175" s="456" t="s">
        <v>780</v>
      </c>
      <c r="E175" s="456" t="s">
        <v>1274</v>
      </c>
      <c r="F175" s="457" t="s">
        <v>1275</v>
      </c>
      <c r="G175" s="458">
        <v>15509.35</v>
      </c>
      <c r="H175" s="458">
        <v>48512.39</v>
      </c>
      <c r="I175" s="458">
        <v>-33003.040000000001</v>
      </c>
      <c r="J175" s="456" t="s">
        <v>1276</v>
      </c>
      <c r="K175" s="456" t="s">
        <v>778</v>
      </c>
      <c r="L175" s="456" t="s">
        <v>164</v>
      </c>
    </row>
    <row r="176" spans="1:12" x14ac:dyDescent="0.2">
      <c r="A176" s="456" t="s">
        <v>884</v>
      </c>
      <c r="B176" s="456" t="s">
        <v>1250</v>
      </c>
      <c r="C176" s="456" t="s">
        <v>779</v>
      </c>
      <c r="D176" s="456" t="s">
        <v>780</v>
      </c>
      <c r="E176" s="456" t="s">
        <v>1277</v>
      </c>
      <c r="F176" s="457" t="s">
        <v>1278</v>
      </c>
      <c r="G176" s="461">
        <v>843.43</v>
      </c>
      <c r="H176" s="461">
        <v>770.17</v>
      </c>
      <c r="I176" s="461">
        <v>73.260000000000005</v>
      </c>
      <c r="J176" s="456" t="s">
        <v>1279</v>
      </c>
      <c r="K176" s="456" t="s">
        <v>778</v>
      </c>
      <c r="L176" s="456" t="s">
        <v>164</v>
      </c>
    </row>
    <row r="177" spans="1:12" x14ac:dyDescent="0.2">
      <c r="A177" s="456" t="s">
        <v>884</v>
      </c>
      <c r="B177" s="456" t="s">
        <v>1250</v>
      </c>
      <c r="C177" s="456" t="s">
        <v>779</v>
      </c>
      <c r="D177" s="456" t="s">
        <v>780</v>
      </c>
      <c r="E177" s="456" t="s">
        <v>1280</v>
      </c>
      <c r="F177" s="457" t="s">
        <v>1281</v>
      </c>
      <c r="G177" s="461">
        <v>654.04</v>
      </c>
      <c r="H177" s="461">
        <v>594.24</v>
      </c>
      <c r="I177" s="461">
        <v>59.8</v>
      </c>
      <c r="J177" s="456" t="s">
        <v>1282</v>
      </c>
      <c r="K177" s="456" t="s">
        <v>778</v>
      </c>
      <c r="L177" s="456" t="s">
        <v>164</v>
      </c>
    </row>
    <row r="178" spans="1:12" x14ac:dyDescent="0.2">
      <c r="A178" s="456" t="s">
        <v>884</v>
      </c>
      <c r="B178" s="456" t="s">
        <v>1250</v>
      </c>
      <c r="C178" s="456" t="s">
        <v>779</v>
      </c>
      <c r="D178" s="456" t="s">
        <v>780</v>
      </c>
      <c r="E178" s="456" t="s">
        <v>1283</v>
      </c>
      <c r="F178" s="457" t="s">
        <v>1284</v>
      </c>
      <c r="G178" s="458">
        <v>214875.67</v>
      </c>
      <c r="H178" s="458">
        <v>689685.99</v>
      </c>
      <c r="I178" s="458">
        <v>-474810.32</v>
      </c>
      <c r="J178" s="456" t="s">
        <v>1285</v>
      </c>
      <c r="K178" s="456" t="s">
        <v>778</v>
      </c>
      <c r="L178" s="456" t="s">
        <v>164</v>
      </c>
    </row>
    <row r="179" spans="1:12" x14ac:dyDescent="0.2">
      <c r="A179" s="459" t="s">
        <v>778</v>
      </c>
      <c r="B179" s="459" t="s">
        <v>1250</v>
      </c>
      <c r="C179" s="459" t="s">
        <v>299</v>
      </c>
      <c r="D179" s="459" t="s">
        <v>299</v>
      </c>
      <c r="E179" s="459" t="s">
        <v>299</v>
      </c>
      <c r="F179" s="457" t="s">
        <v>1286</v>
      </c>
      <c r="G179" s="460">
        <v>818291.04</v>
      </c>
      <c r="H179" s="460">
        <v>4582359.1100000003</v>
      </c>
      <c r="I179" s="460">
        <v>-3764068.07</v>
      </c>
      <c r="J179" s="459" t="s">
        <v>1287</v>
      </c>
      <c r="K179" s="459" t="s">
        <v>778</v>
      </c>
      <c r="L179" s="459" t="s">
        <v>164</v>
      </c>
    </row>
    <row r="180" spans="1:12" x14ac:dyDescent="0.2">
      <c r="A180" s="456" t="s">
        <v>884</v>
      </c>
      <c r="B180" s="456" t="s">
        <v>1288</v>
      </c>
      <c r="C180" s="456" t="s">
        <v>779</v>
      </c>
      <c r="D180" s="456" t="s">
        <v>780</v>
      </c>
      <c r="E180" s="456" t="s">
        <v>1289</v>
      </c>
      <c r="F180" s="457" t="s">
        <v>1290</v>
      </c>
      <c r="G180" s="458">
        <v>544545.04</v>
      </c>
      <c r="H180" s="458">
        <v>880942.5</v>
      </c>
      <c r="I180" s="458">
        <v>-336397.46</v>
      </c>
      <c r="J180" s="456" t="s">
        <v>1291</v>
      </c>
      <c r="K180" s="456" t="s">
        <v>778</v>
      </c>
      <c r="L180" s="456" t="s">
        <v>164</v>
      </c>
    </row>
    <row r="181" spans="1:12" x14ac:dyDescent="0.2">
      <c r="A181" s="456" t="s">
        <v>884</v>
      </c>
      <c r="B181" s="456" t="s">
        <v>1288</v>
      </c>
      <c r="C181" s="456" t="s">
        <v>779</v>
      </c>
      <c r="D181" s="456" t="s">
        <v>780</v>
      </c>
      <c r="E181" s="456" t="s">
        <v>1292</v>
      </c>
      <c r="F181" s="457" t="s">
        <v>1293</v>
      </c>
      <c r="G181" s="458">
        <v>140308.95000000001</v>
      </c>
      <c r="H181" s="458">
        <v>458180.92</v>
      </c>
      <c r="I181" s="458">
        <v>-317871.96999999997</v>
      </c>
      <c r="J181" s="456" t="s">
        <v>1294</v>
      </c>
      <c r="K181" s="456" t="s">
        <v>778</v>
      </c>
      <c r="L181" s="456" t="s">
        <v>164</v>
      </c>
    </row>
    <row r="182" spans="1:12" x14ac:dyDescent="0.2">
      <c r="A182" s="456" t="s">
        <v>884</v>
      </c>
      <c r="B182" s="456" t="s">
        <v>1288</v>
      </c>
      <c r="C182" s="456" t="s">
        <v>779</v>
      </c>
      <c r="D182" s="456" t="s">
        <v>1220</v>
      </c>
      <c r="E182" s="456" t="s">
        <v>1295</v>
      </c>
      <c r="F182" s="457" t="s">
        <v>1296</v>
      </c>
      <c r="G182" s="458">
        <v>3325.6</v>
      </c>
      <c r="H182" s="461">
        <v>0</v>
      </c>
      <c r="I182" s="458">
        <v>3325.6</v>
      </c>
      <c r="J182" s="456" t="s">
        <v>299</v>
      </c>
      <c r="K182" s="456" t="s">
        <v>778</v>
      </c>
      <c r="L182" s="456" t="s">
        <v>164</v>
      </c>
    </row>
    <row r="183" spans="1:12" x14ac:dyDescent="0.2">
      <c r="A183" s="459" t="s">
        <v>778</v>
      </c>
      <c r="B183" s="459" t="s">
        <v>1288</v>
      </c>
      <c r="C183" s="459" t="s">
        <v>299</v>
      </c>
      <c r="D183" s="459" t="s">
        <v>299</v>
      </c>
      <c r="E183" s="459" t="s">
        <v>299</v>
      </c>
      <c r="F183" s="457" t="s">
        <v>299</v>
      </c>
      <c r="G183" s="460">
        <v>688179.59</v>
      </c>
      <c r="H183" s="460">
        <v>1339123.42</v>
      </c>
      <c r="I183" s="460">
        <v>-650943.82999999996</v>
      </c>
      <c r="J183" s="459" t="s">
        <v>1297</v>
      </c>
      <c r="K183" s="459" t="s">
        <v>778</v>
      </c>
      <c r="L183" s="459" t="s">
        <v>164</v>
      </c>
    </row>
    <row r="184" spans="1:12" x14ac:dyDescent="0.2">
      <c r="A184" s="456" t="s">
        <v>884</v>
      </c>
      <c r="B184" s="456" t="s">
        <v>1298</v>
      </c>
      <c r="C184" s="456" t="s">
        <v>779</v>
      </c>
      <c r="D184" s="456" t="s">
        <v>780</v>
      </c>
      <c r="E184" s="456" t="s">
        <v>1299</v>
      </c>
      <c r="F184" s="457" t="s">
        <v>1300</v>
      </c>
      <c r="G184" s="458">
        <v>1983846.55</v>
      </c>
      <c r="H184" s="458">
        <v>4270593.5999999996</v>
      </c>
      <c r="I184" s="458">
        <v>-2286747.0499999998</v>
      </c>
      <c r="J184" s="456" t="s">
        <v>841</v>
      </c>
      <c r="K184" s="456" t="s">
        <v>778</v>
      </c>
      <c r="L184" s="456" t="s">
        <v>164</v>
      </c>
    </row>
    <row r="185" spans="1:12" x14ac:dyDescent="0.2">
      <c r="A185" s="456" t="s">
        <v>884</v>
      </c>
      <c r="B185" s="456" t="s">
        <v>1298</v>
      </c>
      <c r="C185" s="456" t="s">
        <v>779</v>
      </c>
      <c r="D185" s="456" t="s">
        <v>780</v>
      </c>
      <c r="E185" s="456" t="s">
        <v>1301</v>
      </c>
      <c r="F185" s="457" t="s">
        <v>1302</v>
      </c>
      <c r="G185" s="458">
        <v>615227.81000000006</v>
      </c>
      <c r="H185" s="458">
        <v>1207604.3</v>
      </c>
      <c r="I185" s="458">
        <v>-592376.49</v>
      </c>
      <c r="J185" s="456" t="s">
        <v>1303</v>
      </c>
      <c r="K185" s="456" t="s">
        <v>778</v>
      </c>
      <c r="L185" s="456" t="s">
        <v>164</v>
      </c>
    </row>
    <row r="186" spans="1:12" x14ac:dyDescent="0.2">
      <c r="A186" s="459" t="s">
        <v>778</v>
      </c>
      <c r="B186" s="459" t="s">
        <v>1298</v>
      </c>
      <c r="C186" s="459" t="s">
        <v>299</v>
      </c>
      <c r="D186" s="459" t="s">
        <v>299</v>
      </c>
      <c r="E186" s="459" t="s">
        <v>299</v>
      </c>
      <c r="F186" s="457" t="s">
        <v>1304</v>
      </c>
      <c r="G186" s="460">
        <v>2599074.36</v>
      </c>
      <c r="H186" s="460">
        <v>5478197.9000000004</v>
      </c>
      <c r="I186" s="460">
        <v>-2879123.54</v>
      </c>
      <c r="J186" s="459" t="s">
        <v>1255</v>
      </c>
      <c r="K186" s="459" t="s">
        <v>778</v>
      </c>
      <c r="L186" s="459" t="s">
        <v>164</v>
      </c>
    </row>
    <row r="187" spans="1:12" x14ac:dyDescent="0.2">
      <c r="A187" s="456" t="s">
        <v>884</v>
      </c>
      <c r="B187" s="456" t="s">
        <v>1305</v>
      </c>
      <c r="C187" s="456" t="s">
        <v>779</v>
      </c>
      <c r="D187" s="456" t="s">
        <v>780</v>
      </c>
      <c r="E187" s="456" t="s">
        <v>1306</v>
      </c>
      <c r="F187" s="457" t="s">
        <v>1307</v>
      </c>
      <c r="G187" s="458">
        <v>702454.82</v>
      </c>
      <c r="H187" s="458">
        <v>1417075.67</v>
      </c>
      <c r="I187" s="458">
        <v>-714620.85</v>
      </c>
      <c r="J187" s="456" t="s">
        <v>1308</v>
      </c>
      <c r="K187" s="456" t="s">
        <v>778</v>
      </c>
      <c r="L187" s="456" t="s">
        <v>164</v>
      </c>
    </row>
    <row r="188" spans="1:12" x14ac:dyDescent="0.2">
      <c r="A188" s="459" t="s">
        <v>778</v>
      </c>
      <c r="B188" s="459" t="s">
        <v>1305</v>
      </c>
      <c r="C188" s="459" t="s">
        <v>299</v>
      </c>
      <c r="D188" s="459" t="s">
        <v>299</v>
      </c>
      <c r="E188" s="459" t="s">
        <v>299</v>
      </c>
      <c r="F188" s="457" t="s">
        <v>1309</v>
      </c>
      <c r="G188" s="460">
        <v>702454.82</v>
      </c>
      <c r="H188" s="460">
        <v>1417075.67</v>
      </c>
      <c r="I188" s="460">
        <v>-714620.85</v>
      </c>
      <c r="J188" s="459" t="s">
        <v>1308</v>
      </c>
      <c r="K188" s="459" t="s">
        <v>778</v>
      </c>
      <c r="L188" s="459" t="s">
        <v>164</v>
      </c>
    </row>
    <row r="189" spans="1:12" x14ac:dyDescent="0.2">
      <c r="A189" s="459" t="s">
        <v>794</v>
      </c>
      <c r="B189" s="459" t="s">
        <v>1310</v>
      </c>
      <c r="C189" s="459" t="s">
        <v>299</v>
      </c>
      <c r="D189" s="459" t="s">
        <v>299</v>
      </c>
      <c r="E189" s="459" t="s">
        <v>299</v>
      </c>
      <c r="F189" s="457" t="s">
        <v>1311</v>
      </c>
      <c r="G189" s="460">
        <v>6130919.3399999999</v>
      </c>
      <c r="H189" s="460">
        <v>15688013.789999999</v>
      </c>
      <c r="I189" s="460">
        <v>-9557094.4499999993</v>
      </c>
      <c r="J189" s="459" t="s">
        <v>1075</v>
      </c>
      <c r="K189" s="459" t="s">
        <v>778</v>
      </c>
      <c r="L189" s="459" t="s">
        <v>164</v>
      </c>
    </row>
    <row r="190" spans="1:12" x14ac:dyDescent="0.2">
      <c r="A190" s="459" t="s">
        <v>848</v>
      </c>
      <c r="B190" s="459" t="s">
        <v>1312</v>
      </c>
      <c r="C190" s="459" t="s">
        <v>299</v>
      </c>
      <c r="D190" s="459" t="s">
        <v>299</v>
      </c>
      <c r="E190" s="459" t="s">
        <v>299</v>
      </c>
      <c r="F190" s="457" t="s">
        <v>1313</v>
      </c>
      <c r="G190" s="460">
        <v>62247233.619999997</v>
      </c>
      <c r="H190" s="460">
        <v>145869581.49000001</v>
      </c>
      <c r="I190" s="460">
        <v>-83622347.870000005</v>
      </c>
      <c r="J190" s="459" t="s">
        <v>1314</v>
      </c>
      <c r="K190" s="459" t="s">
        <v>778</v>
      </c>
      <c r="L190" s="459" t="s">
        <v>164</v>
      </c>
    </row>
    <row r="191" spans="1:12" x14ac:dyDescent="0.2">
      <c r="A191" s="456" t="s">
        <v>778</v>
      </c>
      <c r="B191" s="456" t="s">
        <v>1315</v>
      </c>
      <c r="C191" s="456" t="s">
        <v>779</v>
      </c>
      <c r="D191" s="456" t="s">
        <v>780</v>
      </c>
      <c r="E191" s="456" t="s">
        <v>1316</v>
      </c>
      <c r="F191" s="457" t="s">
        <v>1317</v>
      </c>
      <c r="G191" s="458">
        <v>1254251.21</v>
      </c>
      <c r="H191" s="458">
        <v>3065937.38</v>
      </c>
      <c r="I191" s="458">
        <v>-1811686.17</v>
      </c>
      <c r="J191" s="456" t="s">
        <v>1318</v>
      </c>
      <c r="K191" s="456" t="s">
        <v>778</v>
      </c>
      <c r="L191" s="456" t="s">
        <v>164</v>
      </c>
    </row>
    <row r="192" spans="1:12" x14ac:dyDescent="0.2">
      <c r="A192" s="456" t="s">
        <v>778</v>
      </c>
      <c r="B192" s="456" t="s">
        <v>1315</v>
      </c>
      <c r="C192" s="456" t="s">
        <v>779</v>
      </c>
      <c r="D192" s="456" t="s">
        <v>780</v>
      </c>
      <c r="E192" s="456" t="s">
        <v>1319</v>
      </c>
      <c r="F192" s="457" t="s">
        <v>1320</v>
      </c>
      <c r="G192" s="461">
        <v>714.4</v>
      </c>
      <c r="H192" s="461">
        <v>0</v>
      </c>
      <c r="I192" s="461">
        <v>714.4</v>
      </c>
      <c r="J192" s="456" t="s">
        <v>299</v>
      </c>
      <c r="K192" s="456" t="s">
        <v>778</v>
      </c>
      <c r="L192" s="456" t="s">
        <v>164</v>
      </c>
    </row>
    <row r="193" spans="1:12" x14ac:dyDescent="0.2">
      <c r="A193" s="456" t="s">
        <v>778</v>
      </c>
      <c r="B193" s="456" t="s">
        <v>1315</v>
      </c>
      <c r="C193" s="456" t="s">
        <v>779</v>
      </c>
      <c r="D193" s="456" t="s">
        <v>780</v>
      </c>
      <c r="E193" s="456" t="s">
        <v>1321</v>
      </c>
      <c r="F193" s="457" t="s">
        <v>1322</v>
      </c>
      <c r="G193" s="458">
        <v>5943.72</v>
      </c>
      <c r="H193" s="458">
        <v>7839.74</v>
      </c>
      <c r="I193" s="458">
        <v>-1896.02</v>
      </c>
      <c r="J193" s="456" t="s">
        <v>1323</v>
      </c>
      <c r="K193" s="456" t="s">
        <v>778</v>
      </c>
      <c r="L193" s="456" t="s">
        <v>164</v>
      </c>
    </row>
    <row r="194" spans="1:12" x14ac:dyDescent="0.2">
      <c r="A194" s="456" t="s">
        <v>778</v>
      </c>
      <c r="B194" s="456" t="s">
        <v>1315</v>
      </c>
      <c r="C194" s="456" t="s">
        <v>779</v>
      </c>
      <c r="D194" s="456" t="s">
        <v>784</v>
      </c>
      <c r="E194" s="456" t="s">
        <v>1324</v>
      </c>
      <c r="F194" s="457" t="s">
        <v>1325</v>
      </c>
      <c r="G194" s="458">
        <v>78660.240000000005</v>
      </c>
      <c r="H194" s="458">
        <v>122426.07</v>
      </c>
      <c r="I194" s="458">
        <v>-43765.83</v>
      </c>
      <c r="J194" s="456" t="s">
        <v>1326</v>
      </c>
      <c r="K194" s="456" t="s">
        <v>778</v>
      </c>
      <c r="L194" s="456" t="s">
        <v>164</v>
      </c>
    </row>
    <row r="195" spans="1:12" x14ac:dyDescent="0.2">
      <c r="A195" s="456" t="s">
        <v>778</v>
      </c>
      <c r="B195" s="456" t="s">
        <v>1315</v>
      </c>
      <c r="C195" s="456" t="s">
        <v>779</v>
      </c>
      <c r="D195" s="456" t="s">
        <v>784</v>
      </c>
      <c r="E195" s="456" t="s">
        <v>1327</v>
      </c>
      <c r="F195" s="457" t="s">
        <v>1328</v>
      </c>
      <c r="G195" s="458">
        <v>172249.68</v>
      </c>
      <c r="H195" s="458">
        <v>459700.35</v>
      </c>
      <c r="I195" s="458">
        <v>-287450.67</v>
      </c>
      <c r="J195" s="456" t="s">
        <v>1329</v>
      </c>
      <c r="K195" s="456" t="s">
        <v>778</v>
      </c>
      <c r="L195" s="456" t="s">
        <v>164</v>
      </c>
    </row>
    <row r="196" spans="1:12" x14ac:dyDescent="0.2">
      <c r="A196" s="456" t="s">
        <v>778</v>
      </c>
      <c r="B196" s="456" t="s">
        <v>1315</v>
      </c>
      <c r="C196" s="456" t="s">
        <v>779</v>
      </c>
      <c r="D196" s="456" t="s">
        <v>784</v>
      </c>
      <c r="E196" s="456" t="s">
        <v>1330</v>
      </c>
      <c r="F196" s="457" t="s">
        <v>1331</v>
      </c>
      <c r="G196" s="458">
        <v>64654.45</v>
      </c>
      <c r="H196" s="458">
        <v>81657.460000000006</v>
      </c>
      <c r="I196" s="458">
        <v>-17003.009999999998</v>
      </c>
      <c r="J196" s="456" t="s">
        <v>1332</v>
      </c>
      <c r="K196" s="456" t="s">
        <v>778</v>
      </c>
      <c r="L196" s="456" t="s">
        <v>164</v>
      </c>
    </row>
    <row r="197" spans="1:12" x14ac:dyDescent="0.2">
      <c r="A197" s="456" t="s">
        <v>778</v>
      </c>
      <c r="B197" s="456" t="s">
        <v>1315</v>
      </c>
      <c r="C197" s="456" t="s">
        <v>779</v>
      </c>
      <c r="D197" s="456" t="s">
        <v>780</v>
      </c>
      <c r="E197" s="456" t="s">
        <v>1333</v>
      </c>
      <c r="F197" s="457" t="s">
        <v>1334</v>
      </c>
      <c r="G197" s="458">
        <v>35201.33</v>
      </c>
      <c r="H197" s="458">
        <v>107861.45</v>
      </c>
      <c r="I197" s="458">
        <v>-72660.12</v>
      </c>
      <c r="J197" s="456" t="s">
        <v>1335</v>
      </c>
      <c r="K197" s="456" t="s">
        <v>778</v>
      </c>
      <c r="L197" s="456" t="s">
        <v>164</v>
      </c>
    </row>
    <row r="198" spans="1:12" x14ac:dyDescent="0.2">
      <c r="A198" s="456" t="s">
        <v>778</v>
      </c>
      <c r="B198" s="456" t="s">
        <v>1315</v>
      </c>
      <c r="C198" s="456" t="s">
        <v>779</v>
      </c>
      <c r="D198" s="456" t="s">
        <v>784</v>
      </c>
      <c r="E198" s="456" t="s">
        <v>1336</v>
      </c>
      <c r="F198" s="457" t="s">
        <v>1337</v>
      </c>
      <c r="G198" s="458">
        <v>259946.74</v>
      </c>
      <c r="H198" s="458">
        <v>441550.29</v>
      </c>
      <c r="I198" s="458">
        <v>-181603.55</v>
      </c>
      <c r="J198" s="456" t="s">
        <v>1338</v>
      </c>
      <c r="K198" s="456" t="s">
        <v>778</v>
      </c>
      <c r="L198" s="456" t="s">
        <v>164</v>
      </c>
    </row>
    <row r="199" spans="1:12" x14ac:dyDescent="0.2">
      <c r="A199" s="456" t="s">
        <v>778</v>
      </c>
      <c r="B199" s="456" t="s">
        <v>1315</v>
      </c>
      <c r="C199" s="456" t="s">
        <v>779</v>
      </c>
      <c r="D199" s="456" t="s">
        <v>784</v>
      </c>
      <c r="E199" s="456" t="s">
        <v>1339</v>
      </c>
      <c r="F199" s="457" t="s">
        <v>1340</v>
      </c>
      <c r="G199" s="458">
        <v>34023.9</v>
      </c>
      <c r="H199" s="458">
        <v>66702.87</v>
      </c>
      <c r="I199" s="458">
        <v>-32678.97</v>
      </c>
      <c r="J199" s="456" t="s">
        <v>1341</v>
      </c>
      <c r="K199" s="456" t="s">
        <v>778</v>
      </c>
      <c r="L199" s="456" t="s">
        <v>164</v>
      </c>
    </row>
    <row r="200" spans="1:12" x14ac:dyDescent="0.2">
      <c r="A200" s="456" t="s">
        <v>778</v>
      </c>
      <c r="B200" s="456" t="s">
        <v>1315</v>
      </c>
      <c r="C200" s="456" t="s">
        <v>779</v>
      </c>
      <c r="D200" s="456" t="s">
        <v>780</v>
      </c>
      <c r="E200" s="456" t="s">
        <v>1342</v>
      </c>
      <c r="F200" s="457" t="s">
        <v>1343</v>
      </c>
      <c r="G200" s="458">
        <v>-679185.01</v>
      </c>
      <c r="H200" s="458">
        <v>-551975.36</v>
      </c>
      <c r="I200" s="458">
        <v>-127209.65</v>
      </c>
      <c r="J200" s="456" t="s">
        <v>1344</v>
      </c>
      <c r="K200" s="456" t="s">
        <v>778</v>
      </c>
      <c r="L200" s="456" t="s">
        <v>164</v>
      </c>
    </row>
    <row r="201" spans="1:12" x14ac:dyDescent="0.2">
      <c r="A201" s="456" t="s">
        <v>778</v>
      </c>
      <c r="B201" s="456" t="s">
        <v>1315</v>
      </c>
      <c r="C201" s="456" t="s">
        <v>779</v>
      </c>
      <c r="D201" s="456" t="s">
        <v>780</v>
      </c>
      <c r="E201" s="456" t="s">
        <v>1345</v>
      </c>
      <c r="F201" s="457" t="s">
        <v>1346</v>
      </c>
      <c r="G201" s="458">
        <v>383615.23</v>
      </c>
      <c r="H201" s="458">
        <v>40321.61</v>
      </c>
      <c r="I201" s="458">
        <v>343293.62</v>
      </c>
      <c r="J201" s="456" t="s">
        <v>1347</v>
      </c>
      <c r="K201" s="456" t="s">
        <v>778</v>
      </c>
      <c r="L201" s="456" t="s">
        <v>164</v>
      </c>
    </row>
    <row r="202" spans="1:12" x14ac:dyDescent="0.2">
      <c r="A202" s="456" t="s">
        <v>778</v>
      </c>
      <c r="B202" s="456" t="s">
        <v>1315</v>
      </c>
      <c r="C202" s="456" t="s">
        <v>779</v>
      </c>
      <c r="D202" s="456" t="s">
        <v>780</v>
      </c>
      <c r="E202" s="456" t="s">
        <v>1348</v>
      </c>
      <c r="F202" s="457" t="s">
        <v>1349</v>
      </c>
      <c r="G202" s="458">
        <v>508332.84</v>
      </c>
      <c r="H202" s="458">
        <v>193147.89</v>
      </c>
      <c r="I202" s="458">
        <v>315184.95</v>
      </c>
      <c r="J202" s="456" t="s">
        <v>1350</v>
      </c>
      <c r="K202" s="456" t="s">
        <v>778</v>
      </c>
      <c r="L202" s="456" t="s">
        <v>164</v>
      </c>
    </row>
    <row r="203" spans="1:12" x14ac:dyDescent="0.2">
      <c r="A203" s="456" t="s">
        <v>778</v>
      </c>
      <c r="B203" s="456" t="s">
        <v>1315</v>
      </c>
      <c r="C203" s="456" t="s">
        <v>779</v>
      </c>
      <c r="D203" s="456" t="s">
        <v>780</v>
      </c>
      <c r="E203" s="456" t="s">
        <v>1351</v>
      </c>
      <c r="F203" s="457" t="s">
        <v>1352</v>
      </c>
      <c r="G203" s="458">
        <v>6944585.4299999997</v>
      </c>
      <c r="H203" s="458">
        <v>14307501.289999999</v>
      </c>
      <c r="I203" s="458">
        <v>-7362915.8600000003</v>
      </c>
      <c r="J203" s="456" t="s">
        <v>1353</v>
      </c>
      <c r="K203" s="456" t="s">
        <v>778</v>
      </c>
      <c r="L203" s="456" t="s">
        <v>164</v>
      </c>
    </row>
    <row r="204" spans="1:12" x14ac:dyDescent="0.2">
      <c r="A204" s="456" t="s">
        <v>778</v>
      </c>
      <c r="B204" s="456" t="s">
        <v>1315</v>
      </c>
      <c r="C204" s="456" t="s">
        <v>779</v>
      </c>
      <c r="D204" s="456" t="s">
        <v>780</v>
      </c>
      <c r="E204" s="456" t="s">
        <v>1354</v>
      </c>
      <c r="F204" s="457" t="s">
        <v>1355</v>
      </c>
      <c r="G204" s="458">
        <v>3710976.06</v>
      </c>
      <c r="H204" s="458">
        <v>11193274.84</v>
      </c>
      <c r="I204" s="458">
        <v>-7482298.7800000003</v>
      </c>
      <c r="J204" s="456" t="s">
        <v>1356</v>
      </c>
      <c r="K204" s="456" t="s">
        <v>778</v>
      </c>
      <c r="L204" s="456" t="s">
        <v>164</v>
      </c>
    </row>
    <row r="205" spans="1:12" x14ac:dyDescent="0.2">
      <c r="A205" s="456" t="s">
        <v>778</v>
      </c>
      <c r="B205" s="456" t="s">
        <v>1315</v>
      </c>
      <c r="C205" s="456" t="s">
        <v>779</v>
      </c>
      <c r="D205" s="456" t="s">
        <v>1028</v>
      </c>
      <c r="E205" s="456" t="s">
        <v>1357</v>
      </c>
      <c r="F205" s="457" t="s">
        <v>1358</v>
      </c>
      <c r="G205" s="461">
        <v>0</v>
      </c>
      <c r="H205" s="458">
        <v>-1182069.3</v>
      </c>
      <c r="I205" s="458">
        <v>1182069.3</v>
      </c>
      <c r="J205" s="456" t="s">
        <v>810</v>
      </c>
      <c r="K205" s="456" t="s">
        <v>778</v>
      </c>
      <c r="L205" s="456" t="s">
        <v>164</v>
      </c>
    </row>
    <row r="206" spans="1:12" x14ac:dyDescent="0.2">
      <c r="A206" s="456" t="s">
        <v>778</v>
      </c>
      <c r="B206" s="456" t="s">
        <v>1315</v>
      </c>
      <c r="C206" s="456" t="s">
        <v>779</v>
      </c>
      <c r="D206" s="456" t="s">
        <v>780</v>
      </c>
      <c r="E206" s="456" t="s">
        <v>1359</v>
      </c>
      <c r="F206" s="457" t="s">
        <v>1360</v>
      </c>
      <c r="G206" s="458">
        <v>6897941.9800000004</v>
      </c>
      <c r="H206" s="458">
        <v>7472237.1699999999</v>
      </c>
      <c r="I206" s="458">
        <v>-574295.18999999994</v>
      </c>
      <c r="J206" s="456" t="s">
        <v>1361</v>
      </c>
      <c r="K206" s="456" t="s">
        <v>778</v>
      </c>
      <c r="L206" s="456" t="s">
        <v>164</v>
      </c>
    </row>
    <row r="207" spans="1:12" x14ac:dyDescent="0.2">
      <c r="A207" s="456" t="s">
        <v>778</v>
      </c>
      <c r="B207" s="456" t="s">
        <v>1315</v>
      </c>
      <c r="C207" s="456" t="s">
        <v>779</v>
      </c>
      <c r="D207" s="456" t="s">
        <v>780</v>
      </c>
      <c r="E207" s="456" t="s">
        <v>1362</v>
      </c>
      <c r="F207" s="457" t="s">
        <v>1363</v>
      </c>
      <c r="G207" s="458">
        <v>11270242.74</v>
      </c>
      <c r="H207" s="458">
        <v>29135752.170000002</v>
      </c>
      <c r="I207" s="458">
        <v>-17865509.43</v>
      </c>
      <c r="J207" s="456" t="s">
        <v>1364</v>
      </c>
      <c r="K207" s="456" t="s">
        <v>778</v>
      </c>
      <c r="L207" s="456" t="s">
        <v>164</v>
      </c>
    </row>
    <row r="208" spans="1:12" x14ac:dyDescent="0.2">
      <c r="A208" s="456" t="s">
        <v>778</v>
      </c>
      <c r="B208" s="456" t="s">
        <v>1315</v>
      </c>
      <c r="C208" s="456" t="s">
        <v>779</v>
      </c>
      <c r="D208" s="456" t="s">
        <v>784</v>
      </c>
      <c r="E208" s="456" t="s">
        <v>1365</v>
      </c>
      <c r="F208" s="457" t="s">
        <v>1366</v>
      </c>
      <c r="G208" s="458">
        <v>58507.65</v>
      </c>
      <c r="H208" s="458">
        <v>17853.45</v>
      </c>
      <c r="I208" s="458">
        <v>40654.199999999997</v>
      </c>
      <c r="J208" s="456" t="s">
        <v>1367</v>
      </c>
      <c r="K208" s="456" t="s">
        <v>778</v>
      </c>
      <c r="L208" s="456" t="s">
        <v>164</v>
      </c>
    </row>
    <row r="209" spans="1:12" x14ac:dyDescent="0.2">
      <c r="A209" s="456" t="s">
        <v>778</v>
      </c>
      <c r="B209" s="456" t="s">
        <v>1315</v>
      </c>
      <c r="C209" s="456" t="s">
        <v>779</v>
      </c>
      <c r="D209" s="456" t="s">
        <v>784</v>
      </c>
      <c r="E209" s="456" t="s">
        <v>1368</v>
      </c>
      <c r="F209" s="457" t="s">
        <v>1369</v>
      </c>
      <c r="G209" s="458">
        <v>13467.07</v>
      </c>
      <c r="H209" s="458">
        <v>25386.47</v>
      </c>
      <c r="I209" s="458">
        <v>-11919.4</v>
      </c>
      <c r="J209" s="456" t="s">
        <v>1370</v>
      </c>
      <c r="K209" s="456" t="s">
        <v>778</v>
      </c>
      <c r="L209" s="456" t="s">
        <v>164</v>
      </c>
    </row>
    <row r="210" spans="1:12" x14ac:dyDescent="0.2">
      <c r="A210" s="456" t="s">
        <v>778</v>
      </c>
      <c r="B210" s="456" t="s">
        <v>1315</v>
      </c>
      <c r="C210" s="456" t="s">
        <v>779</v>
      </c>
      <c r="D210" s="456" t="s">
        <v>784</v>
      </c>
      <c r="E210" s="456" t="s">
        <v>1371</v>
      </c>
      <c r="F210" s="457" t="s">
        <v>1372</v>
      </c>
      <c r="G210" s="461">
        <v>0</v>
      </c>
      <c r="H210" s="461">
        <v>90</v>
      </c>
      <c r="I210" s="461">
        <v>-90</v>
      </c>
      <c r="J210" s="456" t="s">
        <v>826</v>
      </c>
      <c r="K210" s="456" t="s">
        <v>778</v>
      </c>
      <c r="L210" s="456" t="s">
        <v>164</v>
      </c>
    </row>
    <row r="211" spans="1:12" x14ac:dyDescent="0.2">
      <c r="A211" s="456" t="s">
        <v>778</v>
      </c>
      <c r="B211" s="456" t="s">
        <v>1315</v>
      </c>
      <c r="C211" s="456" t="s">
        <v>779</v>
      </c>
      <c r="D211" s="456" t="s">
        <v>780</v>
      </c>
      <c r="E211" s="456" t="s">
        <v>1373</v>
      </c>
      <c r="F211" s="457" t="s">
        <v>1374</v>
      </c>
      <c r="G211" s="458">
        <v>13078287.74</v>
      </c>
      <c r="H211" s="458">
        <v>36661341.119999997</v>
      </c>
      <c r="I211" s="458">
        <v>-23583053.379999999</v>
      </c>
      <c r="J211" s="456" t="s">
        <v>1375</v>
      </c>
      <c r="K211" s="456" t="s">
        <v>778</v>
      </c>
      <c r="L211" s="456" t="s">
        <v>164</v>
      </c>
    </row>
    <row r="212" spans="1:12" x14ac:dyDescent="0.2">
      <c r="A212" s="456" t="s">
        <v>778</v>
      </c>
      <c r="B212" s="456" t="s">
        <v>1315</v>
      </c>
      <c r="C212" s="456" t="s">
        <v>779</v>
      </c>
      <c r="D212" s="456" t="s">
        <v>780</v>
      </c>
      <c r="E212" s="456" t="s">
        <v>1376</v>
      </c>
      <c r="F212" s="457" t="s">
        <v>1377</v>
      </c>
      <c r="G212" s="461">
        <v>0</v>
      </c>
      <c r="H212" s="458">
        <v>-19483.849999999999</v>
      </c>
      <c r="I212" s="458">
        <v>19483.849999999999</v>
      </c>
      <c r="J212" s="456" t="s">
        <v>810</v>
      </c>
      <c r="K212" s="456" t="s">
        <v>778</v>
      </c>
      <c r="L212" s="456" t="s">
        <v>164</v>
      </c>
    </row>
    <row r="213" spans="1:12" x14ac:dyDescent="0.2">
      <c r="A213" s="456" t="s">
        <v>778</v>
      </c>
      <c r="B213" s="456" t="s">
        <v>1315</v>
      </c>
      <c r="C213" s="456" t="s">
        <v>779</v>
      </c>
      <c r="D213" s="456" t="s">
        <v>1021</v>
      </c>
      <c r="E213" s="456" t="s">
        <v>1378</v>
      </c>
      <c r="F213" s="457" t="s">
        <v>1379</v>
      </c>
      <c r="G213" s="461">
        <v>0</v>
      </c>
      <c r="H213" s="458">
        <v>413041.95</v>
      </c>
      <c r="I213" s="458">
        <v>-413041.95</v>
      </c>
      <c r="J213" s="456" t="s">
        <v>826</v>
      </c>
      <c r="K213" s="456" t="s">
        <v>778</v>
      </c>
      <c r="L213" s="456" t="s">
        <v>164</v>
      </c>
    </row>
    <row r="214" spans="1:12" x14ac:dyDescent="0.2">
      <c r="A214" s="456" t="s">
        <v>778</v>
      </c>
      <c r="B214" s="456" t="s">
        <v>1315</v>
      </c>
      <c r="C214" s="456" t="s">
        <v>779</v>
      </c>
      <c r="D214" s="456" t="s">
        <v>1220</v>
      </c>
      <c r="E214" s="456" t="s">
        <v>1380</v>
      </c>
      <c r="F214" s="457" t="s">
        <v>1381</v>
      </c>
      <c r="G214" s="461">
        <v>0</v>
      </c>
      <c r="H214" s="461">
        <v>44.55</v>
      </c>
      <c r="I214" s="461">
        <v>-44.55</v>
      </c>
      <c r="J214" s="456" t="s">
        <v>826</v>
      </c>
      <c r="K214" s="456" t="s">
        <v>778</v>
      </c>
      <c r="L214" s="456" t="s">
        <v>164</v>
      </c>
    </row>
    <row r="215" spans="1:12" x14ac:dyDescent="0.2">
      <c r="A215" s="456" t="s">
        <v>778</v>
      </c>
      <c r="B215" s="456" t="s">
        <v>1315</v>
      </c>
      <c r="C215" s="456" t="s">
        <v>779</v>
      </c>
      <c r="D215" s="456" t="s">
        <v>780</v>
      </c>
      <c r="E215" s="456" t="s">
        <v>1382</v>
      </c>
      <c r="F215" s="457" t="s">
        <v>1383</v>
      </c>
      <c r="G215" s="458">
        <v>391376.91</v>
      </c>
      <c r="H215" s="458">
        <v>638208.77</v>
      </c>
      <c r="I215" s="458">
        <v>-246831.86</v>
      </c>
      <c r="J215" s="456" t="s">
        <v>1384</v>
      </c>
      <c r="K215" s="456" t="s">
        <v>778</v>
      </c>
      <c r="L215" s="456" t="s">
        <v>164</v>
      </c>
    </row>
    <row r="216" spans="1:12" x14ac:dyDescent="0.2">
      <c r="A216" s="456" t="s">
        <v>778</v>
      </c>
      <c r="B216" s="456" t="s">
        <v>1315</v>
      </c>
      <c r="C216" s="456" t="s">
        <v>779</v>
      </c>
      <c r="D216" s="456" t="s">
        <v>780</v>
      </c>
      <c r="E216" s="456" t="s">
        <v>1385</v>
      </c>
      <c r="F216" s="457" t="s">
        <v>1386</v>
      </c>
      <c r="G216" s="461">
        <v>0</v>
      </c>
      <c r="H216" s="458">
        <v>52250.83</v>
      </c>
      <c r="I216" s="458">
        <v>-52250.83</v>
      </c>
      <c r="J216" s="456" t="s">
        <v>826</v>
      </c>
      <c r="K216" s="456" t="s">
        <v>778</v>
      </c>
      <c r="L216" s="456" t="s">
        <v>164</v>
      </c>
    </row>
    <row r="217" spans="1:12" x14ac:dyDescent="0.2">
      <c r="A217" s="456" t="s">
        <v>778</v>
      </c>
      <c r="B217" s="456" t="s">
        <v>1315</v>
      </c>
      <c r="C217" s="456" t="s">
        <v>779</v>
      </c>
      <c r="D217" s="456" t="s">
        <v>784</v>
      </c>
      <c r="E217" s="456" t="s">
        <v>1387</v>
      </c>
      <c r="F217" s="457" t="s">
        <v>1388</v>
      </c>
      <c r="G217" s="458">
        <v>-65588.100000000006</v>
      </c>
      <c r="H217" s="458">
        <v>-524094.7</v>
      </c>
      <c r="I217" s="458">
        <v>458506.6</v>
      </c>
      <c r="J217" s="456" t="s">
        <v>1389</v>
      </c>
      <c r="K217" s="456" t="s">
        <v>778</v>
      </c>
      <c r="L217" s="456" t="s">
        <v>164</v>
      </c>
    </row>
    <row r="218" spans="1:12" x14ac:dyDescent="0.2">
      <c r="A218" s="456" t="s">
        <v>778</v>
      </c>
      <c r="B218" s="456" t="s">
        <v>1315</v>
      </c>
      <c r="C218" s="456" t="s">
        <v>779</v>
      </c>
      <c r="D218" s="456" t="s">
        <v>784</v>
      </c>
      <c r="E218" s="456" t="s">
        <v>1390</v>
      </c>
      <c r="F218" s="457" t="s">
        <v>1391</v>
      </c>
      <c r="G218" s="458">
        <v>-21967.52</v>
      </c>
      <c r="H218" s="458">
        <v>-51610.04</v>
      </c>
      <c r="I218" s="458">
        <v>29642.52</v>
      </c>
      <c r="J218" s="456" t="s">
        <v>1392</v>
      </c>
      <c r="K218" s="456" t="s">
        <v>778</v>
      </c>
      <c r="L218" s="456" t="s">
        <v>164</v>
      </c>
    </row>
    <row r="219" spans="1:12" x14ac:dyDescent="0.2">
      <c r="A219" s="456" t="s">
        <v>778</v>
      </c>
      <c r="B219" s="456" t="s">
        <v>1315</v>
      </c>
      <c r="C219" s="456" t="s">
        <v>779</v>
      </c>
      <c r="D219" s="456" t="s">
        <v>780</v>
      </c>
      <c r="E219" s="456" t="s">
        <v>1393</v>
      </c>
      <c r="F219" s="457" t="s">
        <v>1394</v>
      </c>
      <c r="G219" s="458">
        <v>-450589.68</v>
      </c>
      <c r="H219" s="458">
        <v>-908551.45</v>
      </c>
      <c r="I219" s="458">
        <v>457961.77</v>
      </c>
      <c r="J219" s="456" t="s">
        <v>1395</v>
      </c>
      <c r="K219" s="456" t="s">
        <v>778</v>
      </c>
      <c r="L219" s="456" t="s">
        <v>164</v>
      </c>
    </row>
    <row r="220" spans="1:12" x14ac:dyDescent="0.2">
      <c r="A220" s="459" t="s">
        <v>794</v>
      </c>
      <c r="B220" s="459" t="s">
        <v>1315</v>
      </c>
      <c r="C220" s="459" t="s">
        <v>299</v>
      </c>
      <c r="D220" s="459" t="s">
        <v>299</v>
      </c>
      <c r="E220" s="459" t="s">
        <v>299</v>
      </c>
      <c r="F220" s="457" t="s">
        <v>1396</v>
      </c>
      <c r="G220" s="460">
        <v>43945649.009999998</v>
      </c>
      <c r="H220" s="460">
        <v>101266343.02</v>
      </c>
      <c r="I220" s="460">
        <v>-57320694.009999998</v>
      </c>
      <c r="J220" s="459" t="s">
        <v>1397</v>
      </c>
      <c r="K220" s="459" t="s">
        <v>778</v>
      </c>
      <c r="L220" s="459" t="s">
        <v>164</v>
      </c>
    </row>
    <row r="221" spans="1:12" x14ac:dyDescent="0.2">
      <c r="A221" s="459" t="s">
        <v>848</v>
      </c>
      <c r="B221" s="459" t="s">
        <v>1398</v>
      </c>
      <c r="C221" s="459" t="s">
        <v>299</v>
      </c>
      <c r="D221" s="459" t="s">
        <v>299</v>
      </c>
      <c r="E221" s="459" t="s">
        <v>299</v>
      </c>
      <c r="F221" s="457" t="s">
        <v>1399</v>
      </c>
      <c r="G221" s="460">
        <v>43945649.009999998</v>
      </c>
      <c r="H221" s="460">
        <v>101266343.02</v>
      </c>
      <c r="I221" s="460">
        <v>-57320694.009999998</v>
      </c>
      <c r="J221" s="459" t="s">
        <v>1397</v>
      </c>
      <c r="K221" s="459" t="s">
        <v>778</v>
      </c>
      <c r="L221" s="459" t="s">
        <v>164</v>
      </c>
    </row>
    <row r="222" spans="1:12" x14ac:dyDescent="0.2">
      <c r="A222" s="456" t="s">
        <v>778</v>
      </c>
      <c r="B222" s="456" t="s">
        <v>1400</v>
      </c>
      <c r="C222" s="456" t="s">
        <v>779</v>
      </c>
      <c r="D222" s="456" t="s">
        <v>780</v>
      </c>
      <c r="E222" s="456" t="s">
        <v>1401</v>
      </c>
      <c r="F222" s="457" t="s">
        <v>1402</v>
      </c>
      <c r="G222" s="458">
        <v>1093790.75</v>
      </c>
      <c r="H222" s="458">
        <v>2320614.98</v>
      </c>
      <c r="I222" s="458">
        <v>-1226824.23</v>
      </c>
      <c r="J222" s="456" t="s">
        <v>1403</v>
      </c>
      <c r="K222" s="456" t="s">
        <v>778</v>
      </c>
      <c r="L222" s="456" t="s">
        <v>164</v>
      </c>
    </row>
    <row r="223" spans="1:12" x14ac:dyDescent="0.2">
      <c r="A223" s="456" t="s">
        <v>778</v>
      </c>
      <c r="B223" s="456" t="s">
        <v>1400</v>
      </c>
      <c r="C223" s="456" t="s">
        <v>779</v>
      </c>
      <c r="D223" s="456" t="s">
        <v>780</v>
      </c>
      <c r="E223" s="456" t="s">
        <v>1404</v>
      </c>
      <c r="F223" s="457" t="s">
        <v>1405</v>
      </c>
      <c r="G223" s="461">
        <v>790.93</v>
      </c>
      <c r="H223" s="458">
        <v>17887.349999999999</v>
      </c>
      <c r="I223" s="458">
        <v>-17096.419999999998</v>
      </c>
      <c r="J223" s="456" t="s">
        <v>1406</v>
      </c>
      <c r="K223" s="456" t="s">
        <v>778</v>
      </c>
      <c r="L223" s="456" t="s">
        <v>164</v>
      </c>
    </row>
    <row r="224" spans="1:12" x14ac:dyDescent="0.2">
      <c r="A224" s="456" t="s">
        <v>778</v>
      </c>
      <c r="B224" s="456" t="s">
        <v>1400</v>
      </c>
      <c r="C224" s="456" t="s">
        <v>779</v>
      </c>
      <c r="D224" s="456" t="s">
        <v>784</v>
      </c>
      <c r="E224" s="456" t="s">
        <v>1407</v>
      </c>
      <c r="F224" s="457" t="s">
        <v>1408</v>
      </c>
      <c r="G224" s="461">
        <v>0</v>
      </c>
      <c r="H224" s="458">
        <v>3509.14</v>
      </c>
      <c r="I224" s="458">
        <v>-3509.14</v>
      </c>
      <c r="J224" s="456" t="s">
        <v>826</v>
      </c>
      <c r="K224" s="456" t="s">
        <v>778</v>
      </c>
      <c r="L224" s="456" t="s">
        <v>164</v>
      </c>
    </row>
    <row r="225" spans="1:12" x14ac:dyDescent="0.2">
      <c r="A225" s="456" t="s">
        <v>778</v>
      </c>
      <c r="B225" s="456" t="s">
        <v>1400</v>
      </c>
      <c r="C225" s="456" t="s">
        <v>779</v>
      </c>
      <c r="D225" s="456" t="s">
        <v>784</v>
      </c>
      <c r="E225" s="456" t="s">
        <v>1409</v>
      </c>
      <c r="F225" s="457" t="s">
        <v>1410</v>
      </c>
      <c r="G225" s="458">
        <v>5939.16</v>
      </c>
      <c r="H225" s="458">
        <v>4332.92</v>
      </c>
      <c r="I225" s="458">
        <v>1606.24</v>
      </c>
      <c r="J225" s="456" t="s">
        <v>1411</v>
      </c>
      <c r="K225" s="456" t="s">
        <v>778</v>
      </c>
      <c r="L225" s="456" t="s">
        <v>164</v>
      </c>
    </row>
    <row r="226" spans="1:12" x14ac:dyDescent="0.2">
      <c r="A226" s="456" t="s">
        <v>778</v>
      </c>
      <c r="B226" s="456" t="s">
        <v>1400</v>
      </c>
      <c r="C226" s="456" t="s">
        <v>779</v>
      </c>
      <c r="D226" s="456" t="s">
        <v>780</v>
      </c>
      <c r="E226" s="456" t="s">
        <v>1412</v>
      </c>
      <c r="F226" s="457" t="s">
        <v>1413</v>
      </c>
      <c r="G226" s="458">
        <v>1027344.56</v>
      </c>
      <c r="H226" s="458">
        <v>2084856.73</v>
      </c>
      <c r="I226" s="458">
        <v>-1057512.17</v>
      </c>
      <c r="J226" s="456" t="s">
        <v>1414</v>
      </c>
      <c r="K226" s="456" t="s">
        <v>778</v>
      </c>
      <c r="L226" s="456" t="s">
        <v>164</v>
      </c>
    </row>
    <row r="227" spans="1:12" x14ac:dyDescent="0.2">
      <c r="A227" s="456" t="s">
        <v>778</v>
      </c>
      <c r="B227" s="456" t="s">
        <v>1400</v>
      </c>
      <c r="C227" s="456" t="s">
        <v>779</v>
      </c>
      <c r="D227" s="456" t="s">
        <v>780</v>
      </c>
      <c r="E227" s="456" t="s">
        <v>1415</v>
      </c>
      <c r="F227" s="457" t="s">
        <v>1416</v>
      </c>
      <c r="G227" s="458">
        <v>91355.199999999997</v>
      </c>
      <c r="H227" s="458">
        <v>178701.95</v>
      </c>
      <c r="I227" s="458">
        <v>-87346.75</v>
      </c>
      <c r="J227" s="456" t="s">
        <v>1270</v>
      </c>
      <c r="K227" s="456" t="s">
        <v>778</v>
      </c>
      <c r="L227" s="456" t="s">
        <v>164</v>
      </c>
    </row>
    <row r="228" spans="1:12" x14ac:dyDescent="0.2">
      <c r="A228" s="459" t="s">
        <v>794</v>
      </c>
      <c r="B228" s="459" t="s">
        <v>1400</v>
      </c>
      <c r="C228" s="459" t="s">
        <v>299</v>
      </c>
      <c r="D228" s="459" t="s">
        <v>299</v>
      </c>
      <c r="E228" s="459" t="s">
        <v>299</v>
      </c>
      <c r="F228" s="457" t="s">
        <v>1417</v>
      </c>
      <c r="G228" s="460">
        <v>2219220.6</v>
      </c>
      <c r="H228" s="460">
        <v>4609903.07</v>
      </c>
      <c r="I228" s="460">
        <v>-2390682.4700000002</v>
      </c>
      <c r="J228" s="459" t="s">
        <v>1418</v>
      </c>
      <c r="K228" s="459" t="s">
        <v>778</v>
      </c>
      <c r="L228" s="459" t="s">
        <v>164</v>
      </c>
    </row>
    <row r="229" spans="1:12" x14ac:dyDescent="0.2">
      <c r="A229" s="456" t="s">
        <v>884</v>
      </c>
      <c r="B229" s="456" t="s">
        <v>1419</v>
      </c>
      <c r="C229" s="456" t="s">
        <v>779</v>
      </c>
      <c r="D229" s="456" t="s">
        <v>1220</v>
      </c>
      <c r="E229" s="456" t="s">
        <v>1420</v>
      </c>
      <c r="F229" s="457" t="s">
        <v>1421</v>
      </c>
      <c r="G229" s="458">
        <v>443390</v>
      </c>
      <c r="H229" s="458">
        <v>700000</v>
      </c>
      <c r="I229" s="458">
        <v>-256610</v>
      </c>
      <c r="J229" s="456" t="s">
        <v>1422</v>
      </c>
      <c r="K229" s="456" t="s">
        <v>778</v>
      </c>
      <c r="L229" s="456" t="s">
        <v>164</v>
      </c>
    </row>
    <row r="230" spans="1:12" x14ac:dyDescent="0.2">
      <c r="A230" s="459" t="s">
        <v>778</v>
      </c>
      <c r="B230" s="459" t="s">
        <v>1419</v>
      </c>
      <c r="C230" s="459" t="s">
        <v>299</v>
      </c>
      <c r="D230" s="459" t="s">
        <v>299</v>
      </c>
      <c r="E230" s="459" t="s">
        <v>299</v>
      </c>
      <c r="F230" s="457" t="s">
        <v>1423</v>
      </c>
      <c r="G230" s="460">
        <v>443390</v>
      </c>
      <c r="H230" s="460">
        <v>700000</v>
      </c>
      <c r="I230" s="460">
        <v>-256610</v>
      </c>
      <c r="J230" s="459" t="s">
        <v>1422</v>
      </c>
      <c r="K230" s="459" t="s">
        <v>778</v>
      </c>
      <c r="L230" s="459" t="s">
        <v>164</v>
      </c>
    </row>
    <row r="231" spans="1:12" x14ac:dyDescent="0.2">
      <c r="A231" s="456" t="s">
        <v>884</v>
      </c>
      <c r="B231" s="456" t="s">
        <v>1424</v>
      </c>
      <c r="C231" s="456" t="s">
        <v>779</v>
      </c>
      <c r="D231" s="456" t="s">
        <v>1220</v>
      </c>
      <c r="E231" s="456" t="s">
        <v>1425</v>
      </c>
      <c r="F231" s="457" t="s">
        <v>1426</v>
      </c>
      <c r="G231" s="458">
        <v>314000</v>
      </c>
      <c r="H231" s="458">
        <v>300000</v>
      </c>
      <c r="I231" s="458">
        <v>14000</v>
      </c>
      <c r="J231" s="456" t="s">
        <v>1427</v>
      </c>
      <c r="K231" s="456" t="s">
        <v>778</v>
      </c>
      <c r="L231" s="456" t="s">
        <v>164</v>
      </c>
    </row>
    <row r="232" spans="1:12" x14ac:dyDescent="0.2">
      <c r="A232" s="459" t="s">
        <v>778</v>
      </c>
      <c r="B232" s="459" t="s">
        <v>1424</v>
      </c>
      <c r="C232" s="459" t="s">
        <v>299</v>
      </c>
      <c r="D232" s="459" t="s">
        <v>299</v>
      </c>
      <c r="E232" s="459" t="s">
        <v>299</v>
      </c>
      <c r="F232" s="457" t="s">
        <v>1428</v>
      </c>
      <c r="G232" s="460">
        <v>314000</v>
      </c>
      <c r="H232" s="460">
        <v>300000</v>
      </c>
      <c r="I232" s="460">
        <v>14000</v>
      </c>
      <c r="J232" s="459" t="s">
        <v>1427</v>
      </c>
      <c r="K232" s="459" t="s">
        <v>778</v>
      </c>
      <c r="L232" s="459" t="s">
        <v>164</v>
      </c>
    </row>
    <row r="233" spans="1:12" x14ac:dyDescent="0.2">
      <c r="A233" s="456" t="s">
        <v>884</v>
      </c>
      <c r="B233" s="456" t="s">
        <v>1429</v>
      </c>
      <c r="C233" s="456" t="s">
        <v>779</v>
      </c>
      <c r="D233" s="456" t="s">
        <v>780</v>
      </c>
      <c r="E233" s="456" t="s">
        <v>1430</v>
      </c>
      <c r="F233" s="457" t="s">
        <v>1431</v>
      </c>
      <c r="G233" s="458">
        <v>593643.14</v>
      </c>
      <c r="H233" s="458">
        <v>454021.51</v>
      </c>
      <c r="I233" s="458">
        <v>139621.63</v>
      </c>
      <c r="J233" s="456" t="s">
        <v>1432</v>
      </c>
      <c r="K233" s="456" t="s">
        <v>778</v>
      </c>
      <c r="L233" s="456" t="s">
        <v>164</v>
      </c>
    </row>
    <row r="234" spans="1:12" x14ac:dyDescent="0.2">
      <c r="A234" s="459" t="s">
        <v>778</v>
      </c>
      <c r="B234" s="459" t="s">
        <v>1429</v>
      </c>
      <c r="C234" s="459" t="s">
        <v>299</v>
      </c>
      <c r="D234" s="459" t="s">
        <v>299</v>
      </c>
      <c r="E234" s="459" t="s">
        <v>299</v>
      </c>
      <c r="F234" s="457" t="s">
        <v>1433</v>
      </c>
      <c r="G234" s="460">
        <v>593643.14</v>
      </c>
      <c r="H234" s="460">
        <v>454021.51</v>
      </c>
      <c r="I234" s="460">
        <v>139621.63</v>
      </c>
      <c r="J234" s="459" t="s">
        <v>1432</v>
      </c>
      <c r="K234" s="459" t="s">
        <v>778</v>
      </c>
      <c r="L234" s="459" t="s">
        <v>164</v>
      </c>
    </row>
    <row r="235" spans="1:12" x14ac:dyDescent="0.2">
      <c r="A235" s="456" t="s">
        <v>884</v>
      </c>
      <c r="B235" s="456" t="s">
        <v>1434</v>
      </c>
      <c r="C235" s="456" t="s">
        <v>779</v>
      </c>
      <c r="D235" s="456" t="s">
        <v>1021</v>
      </c>
      <c r="E235" s="456" t="s">
        <v>1435</v>
      </c>
      <c r="F235" s="457" t="s">
        <v>1436</v>
      </c>
      <c r="G235" s="458">
        <v>4200</v>
      </c>
      <c r="H235" s="458">
        <v>5250</v>
      </c>
      <c r="I235" s="458">
        <v>-1050</v>
      </c>
      <c r="J235" s="456" t="s">
        <v>1437</v>
      </c>
      <c r="K235" s="456" t="s">
        <v>778</v>
      </c>
      <c r="L235" s="456" t="s">
        <v>164</v>
      </c>
    </row>
    <row r="236" spans="1:12" x14ac:dyDescent="0.2">
      <c r="A236" s="459" t="s">
        <v>778</v>
      </c>
      <c r="B236" s="459" t="s">
        <v>1434</v>
      </c>
      <c r="C236" s="459" t="s">
        <v>299</v>
      </c>
      <c r="D236" s="459" t="s">
        <v>299</v>
      </c>
      <c r="E236" s="459" t="s">
        <v>299</v>
      </c>
      <c r="F236" s="457" t="s">
        <v>1438</v>
      </c>
      <c r="G236" s="460">
        <v>4200</v>
      </c>
      <c r="H236" s="460">
        <v>5250</v>
      </c>
      <c r="I236" s="460">
        <v>-1050</v>
      </c>
      <c r="J236" s="459" t="s">
        <v>1437</v>
      </c>
      <c r="K236" s="459" t="s">
        <v>778</v>
      </c>
      <c r="L236" s="459" t="s">
        <v>164</v>
      </c>
    </row>
    <row r="237" spans="1:12" x14ac:dyDescent="0.2">
      <c r="A237" s="456" t="s">
        <v>884</v>
      </c>
      <c r="B237" s="456" t="s">
        <v>1439</v>
      </c>
      <c r="C237" s="456" t="s">
        <v>779</v>
      </c>
      <c r="D237" s="456" t="s">
        <v>780</v>
      </c>
      <c r="E237" s="456" t="s">
        <v>1440</v>
      </c>
      <c r="F237" s="457" t="s">
        <v>1441</v>
      </c>
      <c r="G237" s="458">
        <v>3618085.03</v>
      </c>
      <c r="H237" s="458">
        <v>8699616.1600000001</v>
      </c>
      <c r="I237" s="458">
        <v>-5081531.13</v>
      </c>
      <c r="J237" s="456" t="s">
        <v>1442</v>
      </c>
      <c r="K237" s="456" t="s">
        <v>778</v>
      </c>
      <c r="L237" s="456" t="s">
        <v>164</v>
      </c>
    </row>
    <row r="238" spans="1:12" x14ac:dyDescent="0.2">
      <c r="A238" s="456" t="s">
        <v>884</v>
      </c>
      <c r="B238" s="456" t="s">
        <v>1439</v>
      </c>
      <c r="C238" s="456" t="s">
        <v>779</v>
      </c>
      <c r="D238" s="456" t="s">
        <v>780</v>
      </c>
      <c r="E238" s="456" t="s">
        <v>1443</v>
      </c>
      <c r="F238" s="457" t="s">
        <v>1444</v>
      </c>
      <c r="G238" s="461">
        <v>0</v>
      </c>
      <c r="H238" s="458">
        <v>79114</v>
      </c>
      <c r="I238" s="458">
        <v>-79114</v>
      </c>
      <c r="J238" s="456" t="s">
        <v>826</v>
      </c>
      <c r="K238" s="456" t="s">
        <v>778</v>
      </c>
      <c r="L238" s="456" t="s">
        <v>164</v>
      </c>
    </row>
    <row r="239" spans="1:12" x14ac:dyDescent="0.2">
      <c r="A239" s="456" t="s">
        <v>884</v>
      </c>
      <c r="B239" s="456" t="s">
        <v>1439</v>
      </c>
      <c r="C239" s="456" t="s">
        <v>779</v>
      </c>
      <c r="D239" s="456" t="s">
        <v>1220</v>
      </c>
      <c r="E239" s="456" t="s">
        <v>1445</v>
      </c>
      <c r="F239" s="457" t="s">
        <v>1446</v>
      </c>
      <c r="G239" s="458">
        <v>784901.31</v>
      </c>
      <c r="H239" s="458">
        <v>480742.47</v>
      </c>
      <c r="I239" s="458">
        <v>304158.84000000003</v>
      </c>
      <c r="J239" s="456" t="s">
        <v>1447</v>
      </c>
      <c r="K239" s="456" t="s">
        <v>778</v>
      </c>
      <c r="L239" s="456" t="s">
        <v>164</v>
      </c>
    </row>
    <row r="240" spans="1:12" x14ac:dyDescent="0.2">
      <c r="A240" s="456" t="s">
        <v>884</v>
      </c>
      <c r="B240" s="456" t="s">
        <v>1439</v>
      </c>
      <c r="C240" s="456" t="s">
        <v>779</v>
      </c>
      <c r="D240" s="456" t="s">
        <v>780</v>
      </c>
      <c r="E240" s="456" t="s">
        <v>1448</v>
      </c>
      <c r="F240" s="457" t="s">
        <v>1449</v>
      </c>
      <c r="G240" s="458">
        <v>1044330.01</v>
      </c>
      <c r="H240" s="458">
        <v>2750998.76</v>
      </c>
      <c r="I240" s="458">
        <v>-1706668.75</v>
      </c>
      <c r="J240" s="456" t="s">
        <v>1450</v>
      </c>
      <c r="K240" s="456" t="s">
        <v>778</v>
      </c>
      <c r="L240" s="456" t="s">
        <v>164</v>
      </c>
    </row>
    <row r="241" spans="1:12" x14ac:dyDescent="0.2">
      <c r="A241" s="456" t="s">
        <v>884</v>
      </c>
      <c r="B241" s="456" t="s">
        <v>1439</v>
      </c>
      <c r="C241" s="456" t="s">
        <v>779</v>
      </c>
      <c r="D241" s="456" t="s">
        <v>1220</v>
      </c>
      <c r="E241" s="456" t="s">
        <v>1451</v>
      </c>
      <c r="F241" s="457" t="s">
        <v>1452</v>
      </c>
      <c r="G241" s="461">
        <v>-31.11</v>
      </c>
      <c r="H241" s="458">
        <v>100494.05</v>
      </c>
      <c r="I241" s="458">
        <v>-100525.16</v>
      </c>
      <c r="J241" s="456" t="s">
        <v>826</v>
      </c>
      <c r="K241" s="456" t="s">
        <v>778</v>
      </c>
      <c r="L241" s="456" t="s">
        <v>164</v>
      </c>
    </row>
    <row r="242" spans="1:12" x14ac:dyDescent="0.2">
      <c r="A242" s="459" t="s">
        <v>778</v>
      </c>
      <c r="B242" s="459" t="s">
        <v>1439</v>
      </c>
      <c r="C242" s="459" t="s">
        <v>299</v>
      </c>
      <c r="D242" s="459" t="s">
        <v>299</v>
      </c>
      <c r="E242" s="459" t="s">
        <v>299</v>
      </c>
      <c r="F242" s="457" t="s">
        <v>1453</v>
      </c>
      <c r="G242" s="460">
        <v>5447285.2400000002</v>
      </c>
      <c r="H242" s="460">
        <v>12110965.439999999</v>
      </c>
      <c r="I242" s="460">
        <v>-6663680.2000000002</v>
      </c>
      <c r="J242" s="459" t="s">
        <v>1454</v>
      </c>
      <c r="K242" s="459" t="s">
        <v>778</v>
      </c>
      <c r="L242" s="459" t="s">
        <v>164</v>
      </c>
    </row>
    <row r="243" spans="1:12" x14ac:dyDescent="0.2">
      <c r="A243" s="456" t="s">
        <v>884</v>
      </c>
      <c r="B243" s="456" t="s">
        <v>1455</v>
      </c>
      <c r="C243" s="456" t="s">
        <v>779</v>
      </c>
      <c r="D243" s="456" t="s">
        <v>1021</v>
      </c>
      <c r="E243" s="456" t="s">
        <v>1456</v>
      </c>
      <c r="F243" s="457" t="s">
        <v>1457</v>
      </c>
      <c r="G243" s="458">
        <v>579827.06000000006</v>
      </c>
      <c r="H243" s="458">
        <v>1252373.6599999999</v>
      </c>
      <c r="I243" s="458">
        <v>-672546.6</v>
      </c>
      <c r="J243" s="456" t="s">
        <v>1458</v>
      </c>
      <c r="K243" s="456" t="s">
        <v>778</v>
      </c>
      <c r="L243" s="456" t="s">
        <v>164</v>
      </c>
    </row>
    <row r="244" spans="1:12" x14ac:dyDescent="0.2">
      <c r="A244" s="456" t="s">
        <v>884</v>
      </c>
      <c r="B244" s="456" t="s">
        <v>1455</v>
      </c>
      <c r="C244" s="456" t="s">
        <v>779</v>
      </c>
      <c r="D244" s="456" t="s">
        <v>1021</v>
      </c>
      <c r="E244" s="456" t="s">
        <v>1459</v>
      </c>
      <c r="F244" s="457" t="s">
        <v>1460</v>
      </c>
      <c r="G244" s="458">
        <v>425356.43</v>
      </c>
      <c r="H244" s="458">
        <v>737896.49</v>
      </c>
      <c r="I244" s="458">
        <v>-312540.06</v>
      </c>
      <c r="J244" s="456" t="s">
        <v>1461</v>
      </c>
      <c r="K244" s="456" t="s">
        <v>778</v>
      </c>
      <c r="L244" s="456" t="s">
        <v>164</v>
      </c>
    </row>
    <row r="245" spans="1:12" x14ac:dyDescent="0.2">
      <c r="A245" s="456" t="s">
        <v>884</v>
      </c>
      <c r="B245" s="456" t="s">
        <v>1455</v>
      </c>
      <c r="C245" s="456" t="s">
        <v>779</v>
      </c>
      <c r="D245" s="456" t="s">
        <v>780</v>
      </c>
      <c r="E245" s="456" t="s">
        <v>1462</v>
      </c>
      <c r="F245" s="457" t="s">
        <v>1463</v>
      </c>
      <c r="G245" s="458">
        <v>1805.5</v>
      </c>
      <c r="H245" s="461">
        <v>0</v>
      </c>
      <c r="I245" s="458">
        <v>1805.5</v>
      </c>
      <c r="J245" s="456" t="s">
        <v>299</v>
      </c>
      <c r="K245" s="456" t="s">
        <v>778</v>
      </c>
      <c r="L245" s="456" t="s">
        <v>164</v>
      </c>
    </row>
    <row r="246" spans="1:12" x14ac:dyDescent="0.2">
      <c r="A246" s="456" t="s">
        <v>884</v>
      </c>
      <c r="B246" s="456" t="s">
        <v>1455</v>
      </c>
      <c r="C246" s="456" t="s">
        <v>779</v>
      </c>
      <c r="D246" s="456" t="s">
        <v>780</v>
      </c>
      <c r="E246" s="456" t="s">
        <v>1464</v>
      </c>
      <c r="F246" s="457" t="s">
        <v>1465</v>
      </c>
      <c r="G246" s="458">
        <v>406875.18</v>
      </c>
      <c r="H246" s="458">
        <v>1071306.68</v>
      </c>
      <c r="I246" s="458">
        <v>-664431.5</v>
      </c>
      <c r="J246" s="456" t="s">
        <v>1450</v>
      </c>
      <c r="K246" s="456" t="s">
        <v>778</v>
      </c>
      <c r="L246" s="456" t="s">
        <v>164</v>
      </c>
    </row>
    <row r="247" spans="1:12" x14ac:dyDescent="0.2">
      <c r="A247" s="456" t="s">
        <v>884</v>
      </c>
      <c r="B247" s="456" t="s">
        <v>1455</v>
      </c>
      <c r="C247" s="456" t="s">
        <v>779</v>
      </c>
      <c r="D247" s="456" t="s">
        <v>780</v>
      </c>
      <c r="E247" s="456" t="s">
        <v>1466</v>
      </c>
      <c r="F247" s="457" t="s">
        <v>1467</v>
      </c>
      <c r="G247" s="458">
        <v>42420</v>
      </c>
      <c r="H247" s="458">
        <v>107946.48</v>
      </c>
      <c r="I247" s="458">
        <v>-65526.48</v>
      </c>
      <c r="J247" s="456" t="s">
        <v>1468</v>
      </c>
      <c r="K247" s="456" t="s">
        <v>778</v>
      </c>
      <c r="L247" s="456" t="s">
        <v>164</v>
      </c>
    </row>
    <row r="248" spans="1:12" x14ac:dyDescent="0.2">
      <c r="A248" s="456" t="s">
        <v>884</v>
      </c>
      <c r="B248" s="456" t="s">
        <v>1455</v>
      </c>
      <c r="C248" s="456" t="s">
        <v>779</v>
      </c>
      <c r="D248" s="456" t="s">
        <v>1220</v>
      </c>
      <c r="E248" s="456" t="s">
        <v>1469</v>
      </c>
      <c r="F248" s="457" t="s">
        <v>1470</v>
      </c>
      <c r="G248" s="458">
        <v>120494.9</v>
      </c>
      <c r="H248" s="458">
        <v>9020</v>
      </c>
      <c r="I248" s="458">
        <v>111474.9</v>
      </c>
      <c r="J248" s="456" t="s">
        <v>1471</v>
      </c>
      <c r="K248" s="456" t="s">
        <v>778</v>
      </c>
      <c r="L248" s="456" t="s">
        <v>164</v>
      </c>
    </row>
    <row r="249" spans="1:12" x14ac:dyDescent="0.2">
      <c r="A249" s="459" t="s">
        <v>778</v>
      </c>
      <c r="B249" s="459" t="s">
        <v>1455</v>
      </c>
      <c r="C249" s="459" t="s">
        <v>299</v>
      </c>
      <c r="D249" s="459" t="s">
        <v>299</v>
      </c>
      <c r="E249" s="459" t="s">
        <v>299</v>
      </c>
      <c r="F249" s="457" t="s">
        <v>1472</v>
      </c>
      <c r="G249" s="460">
        <v>1576779.07</v>
      </c>
      <c r="H249" s="460">
        <v>3178543.31</v>
      </c>
      <c r="I249" s="460">
        <v>-1601764.24</v>
      </c>
      <c r="J249" s="459" t="s">
        <v>1308</v>
      </c>
      <c r="K249" s="459" t="s">
        <v>778</v>
      </c>
      <c r="L249" s="459" t="s">
        <v>164</v>
      </c>
    </row>
    <row r="250" spans="1:12" x14ac:dyDescent="0.2">
      <c r="A250" s="456" t="s">
        <v>884</v>
      </c>
      <c r="B250" s="456" t="s">
        <v>1473</v>
      </c>
      <c r="C250" s="456" t="s">
        <v>779</v>
      </c>
      <c r="D250" s="456" t="s">
        <v>1220</v>
      </c>
      <c r="E250" s="456" t="s">
        <v>1474</v>
      </c>
      <c r="F250" s="457" t="s">
        <v>1475</v>
      </c>
      <c r="G250" s="458">
        <v>474771.09</v>
      </c>
      <c r="H250" s="458">
        <v>870054.76</v>
      </c>
      <c r="I250" s="458">
        <v>-395283.67</v>
      </c>
      <c r="J250" s="456" t="s">
        <v>1476</v>
      </c>
      <c r="K250" s="456" t="s">
        <v>778</v>
      </c>
      <c r="L250" s="456" t="s">
        <v>164</v>
      </c>
    </row>
    <row r="251" spans="1:12" x14ac:dyDescent="0.2">
      <c r="A251" s="459" t="s">
        <v>778</v>
      </c>
      <c r="B251" s="459" t="s">
        <v>1473</v>
      </c>
      <c r="C251" s="459" t="s">
        <v>299</v>
      </c>
      <c r="D251" s="459" t="s">
        <v>299</v>
      </c>
      <c r="E251" s="459" t="s">
        <v>299</v>
      </c>
      <c r="F251" s="457" t="s">
        <v>1477</v>
      </c>
      <c r="G251" s="460">
        <v>474771.09</v>
      </c>
      <c r="H251" s="460">
        <v>870054.76</v>
      </c>
      <c r="I251" s="460">
        <v>-395283.67</v>
      </c>
      <c r="J251" s="459" t="s">
        <v>1476</v>
      </c>
      <c r="K251" s="459" t="s">
        <v>778</v>
      </c>
      <c r="L251" s="459" t="s">
        <v>164</v>
      </c>
    </row>
    <row r="252" spans="1:12" x14ac:dyDescent="0.2">
      <c r="A252" s="459" t="s">
        <v>794</v>
      </c>
      <c r="B252" s="459" t="s">
        <v>1478</v>
      </c>
      <c r="C252" s="459" t="s">
        <v>299</v>
      </c>
      <c r="D252" s="459" t="s">
        <v>299</v>
      </c>
      <c r="E252" s="459" t="s">
        <v>299</v>
      </c>
      <c r="F252" s="457" t="s">
        <v>1479</v>
      </c>
      <c r="G252" s="460">
        <v>8854068.5399999991</v>
      </c>
      <c r="H252" s="460">
        <v>17618835.02</v>
      </c>
      <c r="I252" s="460">
        <v>-8764766.4800000004</v>
      </c>
      <c r="J252" s="459" t="s">
        <v>1480</v>
      </c>
      <c r="K252" s="459" t="s">
        <v>778</v>
      </c>
      <c r="L252" s="459" t="s">
        <v>164</v>
      </c>
    </row>
    <row r="253" spans="1:12" x14ac:dyDescent="0.2">
      <c r="A253" s="456" t="s">
        <v>778</v>
      </c>
      <c r="B253" s="456" t="s">
        <v>1481</v>
      </c>
      <c r="C253" s="456" t="s">
        <v>779</v>
      </c>
      <c r="D253" s="456" t="s">
        <v>780</v>
      </c>
      <c r="E253" s="456" t="s">
        <v>1482</v>
      </c>
      <c r="F253" s="457" t="s">
        <v>1483</v>
      </c>
      <c r="G253" s="458">
        <v>936903.03</v>
      </c>
      <c r="H253" s="458">
        <v>937040.79</v>
      </c>
      <c r="I253" s="461">
        <v>-137.76</v>
      </c>
      <c r="J253" s="456" t="s">
        <v>1484</v>
      </c>
      <c r="K253" s="456" t="s">
        <v>778</v>
      </c>
      <c r="L253" s="456" t="s">
        <v>164</v>
      </c>
    </row>
    <row r="254" spans="1:12" x14ac:dyDescent="0.2">
      <c r="A254" s="456" t="s">
        <v>778</v>
      </c>
      <c r="B254" s="456" t="s">
        <v>1481</v>
      </c>
      <c r="C254" s="456" t="s">
        <v>779</v>
      </c>
      <c r="D254" s="456" t="s">
        <v>780</v>
      </c>
      <c r="E254" s="456" t="s">
        <v>1485</v>
      </c>
      <c r="F254" s="457" t="s">
        <v>1486</v>
      </c>
      <c r="G254" s="458">
        <v>82478.039999999994</v>
      </c>
      <c r="H254" s="458">
        <v>154527.25</v>
      </c>
      <c r="I254" s="458">
        <v>-72049.210000000006</v>
      </c>
      <c r="J254" s="456" t="s">
        <v>1487</v>
      </c>
      <c r="K254" s="456" t="s">
        <v>778</v>
      </c>
      <c r="L254" s="456" t="s">
        <v>164</v>
      </c>
    </row>
    <row r="255" spans="1:12" x14ac:dyDescent="0.2">
      <c r="A255" s="456" t="s">
        <v>778</v>
      </c>
      <c r="B255" s="456" t="s">
        <v>1481</v>
      </c>
      <c r="C255" s="456" t="s">
        <v>779</v>
      </c>
      <c r="D255" s="456" t="s">
        <v>784</v>
      </c>
      <c r="E255" s="456" t="s">
        <v>1488</v>
      </c>
      <c r="F255" s="457" t="s">
        <v>1489</v>
      </c>
      <c r="G255" s="458">
        <v>1389.36</v>
      </c>
      <c r="H255" s="458">
        <v>5552.84</v>
      </c>
      <c r="I255" s="458">
        <v>-4163.4799999999996</v>
      </c>
      <c r="J255" s="456" t="s">
        <v>1490</v>
      </c>
      <c r="K255" s="456" t="s">
        <v>778</v>
      </c>
      <c r="L255" s="456" t="s">
        <v>164</v>
      </c>
    </row>
    <row r="256" spans="1:12" x14ac:dyDescent="0.2">
      <c r="A256" s="456" t="s">
        <v>778</v>
      </c>
      <c r="B256" s="456" t="s">
        <v>1481</v>
      </c>
      <c r="C256" s="456" t="s">
        <v>779</v>
      </c>
      <c r="D256" s="456" t="s">
        <v>780</v>
      </c>
      <c r="E256" s="456" t="s">
        <v>1491</v>
      </c>
      <c r="F256" s="457" t="s">
        <v>1492</v>
      </c>
      <c r="G256" s="458">
        <v>44740.04</v>
      </c>
      <c r="H256" s="458">
        <v>289999.71999999997</v>
      </c>
      <c r="I256" s="458">
        <v>-245259.68</v>
      </c>
      <c r="J256" s="456" t="s">
        <v>1493</v>
      </c>
      <c r="K256" s="456" t="s">
        <v>778</v>
      </c>
      <c r="L256" s="456" t="s">
        <v>164</v>
      </c>
    </row>
    <row r="257" spans="1:12" x14ac:dyDescent="0.2">
      <c r="A257" s="456" t="s">
        <v>778</v>
      </c>
      <c r="B257" s="456" t="s">
        <v>1481</v>
      </c>
      <c r="C257" s="456" t="s">
        <v>779</v>
      </c>
      <c r="D257" s="456" t="s">
        <v>780</v>
      </c>
      <c r="E257" s="456" t="s">
        <v>1494</v>
      </c>
      <c r="F257" s="457" t="s">
        <v>1495</v>
      </c>
      <c r="G257" s="458">
        <v>214360.61</v>
      </c>
      <c r="H257" s="458">
        <v>401500.36</v>
      </c>
      <c r="I257" s="458">
        <v>-187139.75</v>
      </c>
      <c r="J257" s="456" t="s">
        <v>1487</v>
      </c>
      <c r="K257" s="456" t="s">
        <v>778</v>
      </c>
      <c r="L257" s="456" t="s">
        <v>164</v>
      </c>
    </row>
    <row r="258" spans="1:12" x14ac:dyDescent="0.2">
      <c r="A258" s="456" t="s">
        <v>778</v>
      </c>
      <c r="B258" s="456" t="s">
        <v>1481</v>
      </c>
      <c r="C258" s="456" t="s">
        <v>779</v>
      </c>
      <c r="D258" s="456" t="s">
        <v>784</v>
      </c>
      <c r="E258" s="456" t="s">
        <v>1496</v>
      </c>
      <c r="F258" s="457" t="s">
        <v>1497</v>
      </c>
      <c r="G258" s="461">
        <v>597.75</v>
      </c>
      <c r="H258" s="458">
        <v>5144.37</v>
      </c>
      <c r="I258" s="458">
        <v>-4546.62</v>
      </c>
      <c r="J258" s="456" t="s">
        <v>1498</v>
      </c>
      <c r="K258" s="456" t="s">
        <v>778</v>
      </c>
      <c r="L258" s="456" t="s">
        <v>164</v>
      </c>
    </row>
    <row r="259" spans="1:12" x14ac:dyDescent="0.2">
      <c r="A259" s="456" t="s">
        <v>778</v>
      </c>
      <c r="B259" s="456" t="s">
        <v>1481</v>
      </c>
      <c r="C259" s="456" t="s">
        <v>779</v>
      </c>
      <c r="D259" s="456" t="s">
        <v>780</v>
      </c>
      <c r="E259" s="456" t="s">
        <v>1499</v>
      </c>
      <c r="F259" s="457" t="s">
        <v>1500</v>
      </c>
      <c r="G259" s="458">
        <v>207326.86</v>
      </c>
      <c r="H259" s="458">
        <v>256462.83</v>
      </c>
      <c r="I259" s="458">
        <v>-49135.97</v>
      </c>
      <c r="J259" s="456" t="s">
        <v>1501</v>
      </c>
      <c r="K259" s="456" t="s">
        <v>778</v>
      </c>
      <c r="L259" s="456" t="s">
        <v>164</v>
      </c>
    </row>
    <row r="260" spans="1:12" x14ac:dyDescent="0.2">
      <c r="A260" s="459" t="s">
        <v>794</v>
      </c>
      <c r="B260" s="459" t="s">
        <v>1481</v>
      </c>
      <c r="C260" s="459" t="s">
        <v>299</v>
      </c>
      <c r="D260" s="459" t="s">
        <v>299</v>
      </c>
      <c r="E260" s="459" t="s">
        <v>299</v>
      </c>
      <c r="F260" s="457" t="s">
        <v>1502</v>
      </c>
      <c r="G260" s="460">
        <v>1487795.69</v>
      </c>
      <c r="H260" s="460">
        <v>2050228.16</v>
      </c>
      <c r="I260" s="460">
        <v>-562432.47</v>
      </c>
      <c r="J260" s="459" t="s">
        <v>1503</v>
      </c>
      <c r="K260" s="459" t="s">
        <v>778</v>
      </c>
      <c r="L260" s="459" t="s">
        <v>164</v>
      </c>
    </row>
    <row r="261" spans="1:12" x14ac:dyDescent="0.2">
      <c r="A261" s="456" t="s">
        <v>778</v>
      </c>
      <c r="B261" s="456" t="s">
        <v>1504</v>
      </c>
      <c r="C261" s="456" t="s">
        <v>779</v>
      </c>
      <c r="D261" s="456" t="s">
        <v>1117</v>
      </c>
      <c r="E261" s="456" t="s">
        <v>1505</v>
      </c>
      <c r="F261" s="457" t="s">
        <v>1506</v>
      </c>
      <c r="G261" s="461">
        <v>0</v>
      </c>
      <c r="H261" s="461">
        <v>64.86</v>
      </c>
      <c r="I261" s="461">
        <v>-64.86</v>
      </c>
      <c r="J261" s="456" t="s">
        <v>826</v>
      </c>
      <c r="K261" s="456" t="s">
        <v>778</v>
      </c>
      <c r="L261" s="456" t="s">
        <v>164</v>
      </c>
    </row>
    <row r="262" spans="1:12" x14ac:dyDescent="0.2">
      <c r="A262" s="456" t="s">
        <v>778</v>
      </c>
      <c r="B262" s="456" t="s">
        <v>1504</v>
      </c>
      <c r="C262" s="456" t="s">
        <v>779</v>
      </c>
      <c r="D262" s="456" t="s">
        <v>780</v>
      </c>
      <c r="E262" s="456" t="s">
        <v>1507</v>
      </c>
      <c r="F262" s="457" t="s">
        <v>1508</v>
      </c>
      <c r="G262" s="458">
        <v>-908331.3</v>
      </c>
      <c r="H262" s="458">
        <v>21166613.25</v>
      </c>
      <c r="I262" s="458">
        <v>-22074944.550000001</v>
      </c>
      <c r="J262" s="456" t="s">
        <v>1509</v>
      </c>
      <c r="K262" s="456" t="s">
        <v>778</v>
      </c>
      <c r="L262" s="456" t="s">
        <v>164</v>
      </c>
    </row>
    <row r="263" spans="1:12" x14ac:dyDescent="0.2">
      <c r="A263" s="456" t="s">
        <v>778</v>
      </c>
      <c r="B263" s="456" t="s">
        <v>1504</v>
      </c>
      <c r="C263" s="456" t="s">
        <v>779</v>
      </c>
      <c r="D263" s="456" t="s">
        <v>780</v>
      </c>
      <c r="E263" s="456" t="s">
        <v>1510</v>
      </c>
      <c r="F263" s="457" t="s">
        <v>1511</v>
      </c>
      <c r="G263" s="458">
        <v>10006536.640000001</v>
      </c>
      <c r="H263" s="458">
        <v>16984576.300000001</v>
      </c>
      <c r="I263" s="458">
        <v>-6978039.6600000001</v>
      </c>
      <c r="J263" s="456" t="s">
        <v>1338</v>
      </c>
      <c r="K263" s="456" t="s">
        <v>778</v>
      </c>
      <c r="L263" s="456" t="s">
        <v>164</v>
      </c>
    </row>
    <row r="264" spans="1:12" x14ac:dyDescent="0.2">
      <c r="A264" s="456" t="s">
        <v>778</v>
      </c>
      <c r="B264" s="456" t="s">
        <v>1504</v>
      </c>
      <c r="C264" s="456" t="s">
        <v>779</v>
      </c>
      <c r="D264" s="456" t="s">
        <v>780</v>
      </c>
      <c r="E264" s="456" t="s">
        <v>1512</v>
      </c>
      <c r="F264" s="457" t="s">
        <v>1513</v>
      </c>
      <c r="G264" s="458">
        <v>136841.45000000001</v>
      </c>
      <c r="H264" s="458">
        <v>297703.95</v>
      </c>
      <c r="I264" s="458">
        <v>-160862.5</v>
      </c>
      <c r="J264" s="456" t="s">
        <v>1514</v>
      </c>
      <c r="K264" s="456" t="s">
        <v>778</v>
      </c>
      <c r="L264" s="456" t="s">
        <v>164</v>
      </c>
    </row>
    <row r="265" spans="1:12" x14ac:dyDescent="0.2">
      <c r="A265" s="456" t="s">
        <v>778</v>
      </c>
      <c r="B265" s="456" t="s">
        <v>1504</v>
      </c>
      <c r="C265" s="456" t="s">
        <v>779</v>
      </c>
      <c r="D265" s="456" t="s">
        <v>780</v>
      </c>
      <c r="E265" s="456" t="s">
        <v>1515</v>
      </c>
      <c r="F265" s="457" t="s">
        <v>1516</v>
      </c>
      <c r="G265" s="458">
        <v>2460942.44</v>
      </c>
      <c r="H265" s="458">
        <v>6225175.0700000003</v>
      </c>
      <c r="I265" s="458">
        <v>-3764232.63</v>
      </c>
      <c r="J265" s="456" t="s">
        <v>903</v>
      </c>
      <c r="K265" s="456" t="s">
        <v>778</v>
      </c>
      <c r="L265" s="456" t="s">
        <v>164</v>
      </c>
    </row>
    <row r="266" spans="1:12" x14ac:dyDescent="0.2">
      <c r="A266" s="456" t="s">
        <v>778</v>
      </c>
      <c r="B266" s="456" t="s">
        <v>1504</v>
      </c>
      <c r="C266" s="456" t="s">
        <v>779</v>
      </c>
      <c r="D266" s="456" t="s">
        <v>780</v>
      </c>
      <c r="E266" s="456" t="s">
        <v>1517</v>
      </c>
      <c r="F266" s="457" t="s">
        <v>1518</v>
      </c>
      <c r="G266" s="458">
        <v>19487.419999999998</v>
      </c>
      <c r="H266" s="458">
        <v>37059.410000000003</v>
      </c>
      <c r="I266" s="458">
        <v>-17571.990000000002</v>
      </c>
      <c r="J266" s="456" t="s">
        <v>1519</v>
      </c>
      <c r="K266" s="456" t="s">
        <v>778</v>
      </c>
      <c r="L266" s="456" t="s">
        <v>164</v>
      </c>
    </row>
    <row r="267" spans="1:12" x14ac:dyDescent="0.2">
      <c r="A267" s="456" t="s">
        <v>778</v>
      </c>
      <c r="B267" s="456" t="s">
        <v>1504</v>
      </c>
      <c r="C267" s="456" t="s">
        <v>779</v>
      </c>
      <c r="D267" s="456" t="s">
        <v>780</v>
      </c>
      <c r="E267" s="456" t="s">
        <v>1520</v>
      </c>
      <c r="F267" s="457" t="s">
        <v>1521</v>
      </c>
      <c r="G267" s="458">
        <v>464617.39</v>
      </c>
      <c r="H267" s="458">
        <v>719578.8</v>
      </c>
      <c r="I267" s="458">
        <v>-254961.41</v>
      </c>
      <c r="J267" s="456" t="s">
        <v>1522</v>
      </c>
      <c r="K267" s="456" t="s">
        <v>778</v>
      </c>
      <c r="L267" s="456" t="s">
        <v>164</v>
      </c>
    </row>
    <row r="268" spans="1:12" x14ac:dyDescent="0.2">
      <c r="A268" s="456" t="s">
        <v>778</v>
      </c>
      <c r="B268" s="456" t="s">
        <v>1504</v>
      </c>
      <c r="C268" s="456" t="s">
        <v>779</v>
      </c>
      <c r="D268" s="456" t="s">
        <v>780</v>
      </c>
      <c r="E268" s="456" t="s">
        <v>1523</v>
      </c>
      <c r="F268" s="457" t="s">
        <v>1524</v>
      </c>
      <c r="G268" s="458">
        <v>2218797.7200000002</v>
      </c>
      <c r="H268" s="458">
        <v>4440082.78</v>
      </c>
      <c r="I268" s="458">
        <v>-2221285.06</v>
      </c>
      <c r="J268" s="456" t="s">
        <v>1525</v>
      </c>
      <c r="K268" s="456" t="s">
        <v>778</v>
      </c>
      <c r="L268" s="456" t="s">
        <v>164</v>
      </c>
    </row>
    <row r="269" spans="1:12" x14ac:dyDescent="0.2">
      <c r="A269" s="456" t="s">
        <v>778</v>
      </c>
      <c r="B269" s="456" t="s">
        <v>1504</v>
      </c>
      <c r="C269" s="456" t="s">
        <v>779</v>
      </c>
      <c r="D269" s="456" t="s">
        <v>780</v>
      </c>
      <c r="E269" s="456" t="s">
        <v>1526</v>
      </c>
      <c r="F269" s="457" t="s">
        <v>1527</v>
      </c>
      <c r="G269" s="458">
        <v>1895007.57</v>
      </c>
      <c r="H269" s="458">
        <v>3749729.12</v>
      </c>
      <c r="I269" s="458">
        <v>-1854721.55</v>
      </c>
      <c r="J269" s="456" t="s">
        <v>1528</v>
      </c>
      <c r="K269" s="456" t="s">
        <v>778</v>
      </c>
      <c r="L269" s="456" t="s">
        <v>164</v>
      </c>
    </row>
    <row r="270" spans="1:12" x14ac:dyDescent="0.2">
      <c r="A270" s="456" t="s">
        <v>778</v>
      </c>
      <c r="B270" s="456" t="s">
        <v>1504</v>
      </c>
      <c r="C270" s="456" t="s">
        <v>779</v>
      </c>
      <c r="D270" s="456" t="s">
        <v>1021</v>
      </c>
      <c r="E270" s="456" t="s">
        <v>1529</v>
      </c>
      <c r="F270" s="457" t="s">
        <v>1530</v>
      </c>
      <c r="G270" s="458">
        <v>3040.65</v>
      </c>
      <c r="H270" s="458">
        <v>293605.49</v>
      </c>
      <c r="I270" s="458">
        <v>-290564.84000000003</v>
      </c>
      <c r="J270" s="456" t="s">
        <v>1531</v>
      </c>
      <c r="K270" s="456" t="s">
        <v>778</v>
      </c>
      <c r="L270" s="456" t="s">
        <v>164</v>
      </c>
    </row>
    <row r="271" spans="1:12" x14ac:dyDescent="0.2">
      <c r="A271" s="456" t="s">
        <v>778</v>
      </c>
      <c r="B271" s="456" t="s">
        <v>1504</v>
      </c>
      <c r="C271" s="456" t="s">
        <v>779</v>
      </c>
      <c r="D271" s="456" t="s">
        <v>780</v>
      </c>
      <c r="E271" s="456" t="s">
        <v>1532</v>
      </c>
      <c r="F271" s="457" t="s">
        <v>1533</v>
      </c>
      <c r="G271" s="458">
        <v>6721091.9800000004</v>
      </c>
      <c r="H271" s="458">
        <v>13562106.130000001</v>
      </c>
      <c r="I271" s="458">
        <v>-6841014.1500000004</v>
      </c>
      <c r="J271" s="456" t="s">
        <v>1308</v>
      </c>
      <c r="K271" s="456" t="s">
        <v>778</v>
      </c>
      <c r="L271" s="456" t="s">
        <v>164</v>
      </c>
    </row>
    <row r="272" spans="1:12" x14ac:dyDescent="0.2">
      <c r="A272" s="456" t="s">
        <v>778</v>
      </c>
      <c r="B272" s="456" t="s">
        <v>1504</v>
      </c>
      <c r="C272" s="456" t="s">
        <v>779</v>
      </c>
      <c r="D272" s="456" t="s">
        <v>1021</v>
      </c>
      <c r="E272" s="456" t="s">
        <v>1534</v>
      </c>
      <c r="F272" s="457" t="s">
        <v>1535</v>
      </c>
      <c r="G272" s="458">
        <v>5683.57</v>
      </c>
      <c r="H272" s="458">
        <v>1093413.6599999999</v>
      </c>
      <c r="I272" s="458">
        <v>-1087730.0900000001</v>
      </c>
      <c r="J272" s="456" t="s">
        <v>1536</v>
      </c>
      <c r="K272" s="456" t="s">
        <v>778</v>
      </c>
      <c r="L272" s="456" t="s">
        <v>164</v>
      </c>
    </row>
    <row r="273" spans="1:12" x14ac:dyDescent="0.2">
      <c r="A273" s="456" t="s">
        <v>778</v>
      </c>
      <c r="B273" s="456" t="s">
        <v>1504</v>
      </c>
      <c r="C273" s="456" t="s">
        <v>779</v>
      </c>
      <c r="D273" s="456" t="s">
        <v>780</v>
      </c>
      <c r="E273" s="456" t="s">
        <v>1537</v>
      </c>
      <c r="F273" s="457" t="s">
        <v>1538</v>
      </c>
      <c r="G273" s="458">
        <v>115186.06</v>
      </c>
      <c r="H273" s="458">
        <v>1087838.8899999999</v>
      </c>
      <c r="I273" s="458">
        <v>-972652.83</v>
      </c>
      <c r="J273" s="456" t="s">
        <v>1539</v>
      </c>
      <c r="K273" s="456" t="s">
        <v>778</v>
      </c>
      <c r="L273" s="456" t="s">
        <v>164</v>
      </c>
    </row>
    <row r="274" spans="1:12" x14ac:dyDescent="0.2">
      <c r="A274" s="456" t="s">
        <v>778</v>
      </c>
      <c r="B274" s="456" t="s">
        <v>1504</v>
      </c>
      <c r="C274" s="456" t="s">
        <v>779</v>
      </c>
      <c r="D274" s="456" t="s">
        <v>1021</v>
      </c>
      <c r="E274" s="456" t="s">
        <v>1540</v>
      </c>
      <c r="F274" s="457" t="s">
        <v>1541</v>
      </c>
      <c r="G274" s="458">
        <v>682916.15</v>
      </c>
      <c r="H274" s="461">
        <v>0</v>
      </c>
      <c r="I274" s="458">
        <v>682916.15</v>
      </c>
      <c r="J274" s="456" t="s">
        <v>299</v>
      </c>
      <c r="K274" s="456" t="s">
        <v>778</v>
      </c>
      <c r="L274" s="456" t="s">
        <v>164</v>
      </c>
    </row>
    <row r="275" spans="1:12" x14ac:dyDescent="0.2">
      <c r="A275" s="456" t="s">
        <v>778</v>
      </c>
      <c r="B275" s="456" t="s">
        <v>1504</v>
      </c>
      <c r="C275" s="456" t="s">
        <v>779</v>
      </c>
      <c r="D275" s="456" t="s">
        <v>780</v>
      </c>
      <c r="E275" s="456" t="s">
        <v>1542</v>
      </c>
      <c r="F275" s="457" t="s">
        <v>1543</v>
      </c>
      <c r="G275" s="458">
        <v>11125.21</v>
      </c>
      <c r="H275" s="458">
        <v>20121.64</v>
      </c>
      <c r="I275" s="458">
        <v>-8996.43</v>
      </c>
      <c r="J275" s="456" t="s">
        <v>1205</v>
      </c>
      <c r="K275" s="456" t="s">
        <v>778</v>
      </c>
      <c r="L275" s="456" t="s">
        <v>164</v>
      </c>
    </row>
    <row r="276" spans="1:12" x14ac:dyDescent="0.2">
      <c r="A276" s="456" t="s">
        <v>778</v>
      </c>
      <c r="B276" s="456" t="s">
        <v>1504</v>
      </c>
      <c r="C276" s="456" t="s">
        <v>779</v>
      </c>
      <c r="D276" s="456" t="s">
        <v>1021</v>
      </c>
      <c r="E276" s="456" t="s">
        <v>1544</v>
      </c>
      <c r="F276" s="457" t="s">
        <v>1545</v>
      </c>
      <c r="G276" s="461">
        <v>0</v>
      </c>
      <c r="H276" s="458">
        <v>12653.28</v>
      </c>
      <c r="I276" s="458">
        <v>-12653.28</v>
      </c>
      <c r="J276" s="456" t="s">
        <v>826</v>
      </c>
      <c r="K276" s="456" t="s">
        <v>778</v>
      </c>
      <c r="L276" s="456" t="s">
        <v>164</v>
      </c>
    </row>
    <row r="277" spans="1:12" x14ac:dyDescent="0.2">
      <c r="A277" s="456" t="s">
        <v>778</v>
      </c>
      <c r="B277" s="456" t="s">
        <v>1504</v>
      </c>
      <c r="C277" s="456" t="s">
        <v>779</v>
      </c>
      <c r="D277" s="456" t="s">
        <v>1021</v>
      </c>
      <c r="E277" s="456" t="s">
        <v>1546</v>
      </c>
      <c r="F277" s="457" t="s">
        <v>1547</v>
      </c>
      <c r="G277" s="461">
        <v>0</v>
      </c>
      <c r="H277" s="458">
        <v>9728.06</v>
      </c>
      <c r="I277" s="458">
        <v>-9728.06</v>
      </c>
      <c r="J277" s="456" t="s">
        <v>826</v>
      </c>
      <c r="K277" s="456" t="s">
        <v>778</v>
      </c>
      <c r="L277" s="456" t="s">
        <v>164</v>
      </c>
    </row>
    <row r="278" spans="1:12" x14ac:dyDescent="0.2">
      <c r="A278" s="456" t="s">
        <v>778</v>
      </c>
      <c r="B278" s="456" t="s">
        <v>1504</v>
      </c>
      <c r="C278" s="456" t="s">
        <v>779</v>
      </c>
      <c r="D278" s="456" t="s">
        <v>784</v>
      </c>
      <c r="E278" s="456" t="s">
        <v>1548</v>
      </c>
      <c r="F278" s="457" t="s">
        <v>1549</v>
      </c>
      <c r="G278" s="458">
        <v>19600</v>
      </c>
      <c r="H278" s="458">
        <v>27505.45</v>
      </c>
      <c r="I278" s="458">
        <v>-7905.45</v>
      </c>
      <c r="J278" s="456" t="s">
        <v>1550</v>
      </c>
      <c r="K278" s="456" t="s">
        <v>778</v>
      </c>
      <c r="L278" s="456" t="s">
        <v>164</v>
      </c>
    </row>
    <row r="279" spans="1:12" x14ac:dyDescent="0.2">
      <c r="A279" s="459" t="s">
        <v>794</v>
      </c>
      <c r="B279" s="459" t="s">
        <v>1504</v>
      </c>
      <c r="C279" s="459" t="s">
        <v>299</v>
      </c>
      <c r="D279" s="459" t="s">
        <v>299</v>
      </c>
      <c r="E279" s="459" t="s">
        <v>299</v>
      </c>
      <c r="F279" s="457" t="s">
        <v>1551</v>
      </c>
      <c r="G279" s="460">
        <v>23852542.949999999</v>
      </c>
      <c r="H279" s="460">
        <v>69727556.140000001</v>
      </c>
      <c r="I279" s="460">
        <v>-45875013.189999998</v>
      </c>
      <c r="J279" s="459" t="s">
        <v>1552</v>
      </c>
      <c r="K279" s="459" t="s">
        <v>778</v>
      </c>
      <c r="L279" s="459" t="s">
        <v>164</v>
      </c>
    </row>
    <row r="280" spans="1:12" x14ac:dyDescent="0.2">
      <c r="A280" s="456" t="s">
        <v>778</v>
      </c>
      <c r="B280" s="456" t="s">
        <v>1553</v>
      </c>
      <c r="C280" s="456" t="s">
        <v>779</v>
      </c>
      <c r="D280" s="456" t="s">
        <v>780</v>
      </c>
      <c r="E280" s="456" t="s">
        <v>1554</v>
      </c>
      <c r="F280" s="457" t="s">
        <v>1555</v>
      </c>
      <c r="G280" s="458">
        <v>1388.76</v>
      </c>
      <c r="H280" s="458">
        <v>2124.91</v>
      </c>
      <c r="I280" s="461">
        <v>-736.15</v>
      </c>
      <c r="J280" s="456" t="s">
        <v>873</v>
      </c>
      <c r="K280" s="456" t="s">
        <v>778</v>
      </c>
      <c r="L280" s="456" t="s">
        <v>164</v>
      </c>
    </row>
    <row r="281" spans="1:12" x14ac:dyDescent="0.2">
      <c r="A281" s="456" t="s">
        <v>778</v>
      </c>
      <c r="B281" s="456" t="s">
        <v>1553</v>
      </c>
      <c r="C281" s="456" t="s">
        <v>780</v>
      </c>
      <c r="D281" s="456" t="s">
        <v>780</v>
      </c>
      <c r="E281" s="456" t="s">
        <v>1556</v>
      </c>
      <c r="F281" s="457" t="s">
        <v>1557</v>
      </c>
      <c r="G281" s="458">
        <v>11023672.49</v>
      </c>
      <c r="H281" s="458">
        <v>11161257.49</v>
      </c>
      <c r="I281" s="458">
        <v>-137585</v>
      </c>
      <c r="J281" s="456" t="s">
        <v>1558</v>
      </c>
      <c r="K281" s="456" t="s">
        <v>778</v>
      </c>
      <c r="L281" s="456" t="s">
        <v>164</v>
      </c>
    </row>
    <row r="282" spans="1:12" x14ac:dyDescent="0.2">
      <c r="A282" s="459" t="s">
        <v>794</v>
      </c>
      <c r="B282" s="459" t="s">
        <v>1553</v>
      </c>
      <c r="C282" s="459" t="s">
        <v>299</v>
      </c>
      <c r="D282" s="459" t="s">
        <v>299</v>
      </c>
      <c r="E282" s="459" t="s">
        <v>299</v>
      </c>
      <c r="F282" s="457" t="s">
        <v>1559</v>
      </c>
      <c r="G282" s="460">
        <v>11025061.25</v>
      </c>
      <c r="H282" s="460">
        <v>11163382.4</v>
      </c>
      <c r="I282" s="460">
        <v>-138321.15</v>
      </c>
      <c r="J282" s="459" t="s">
        <v>1558</v>
      </c>
      <c r="K282" s="459" t="s">
        <v>778</v>
      </c>
      <c r="L282" s="459" t="s">
        <v>164</v>
      </c>
    </row>
    <row r="283" spans="1:12" x14ac:dyDescent="0.2">
      <c r="A283" s="459" t="s">
        <v>848</v>
      </c>
      <c r="B283" s="459" t="s">
        <v>1560</v>
      </c>
      <c r="C283" s="459" t="s">
        <v>299</v>
      </c>
      <c r="D283" s="459" t="s">
        <v>299</v>
      </c>
      <c r="E283" s="459" t="s">
        <v>299</v>
      </c>
      <c r="F283" s="457" t="s">
        <v>1561</v>
      </c>
      <c r="G283" s="460">
        <v>47438689.030000001</v>
      </c>
      <c r="H283" s="460">
        <v>105169904.79000001</v>
      </c>
      <c r="I283" s="460">
        <v>-57731215.759999998</v>
      </c>
      <c r="J283" s="459" t="s">
        <v>1562</v>
      </c>
      <c r="K283" s="459" t="s">
        <v>778</v>
      </c>
      <c r="L283" s="459" t="s">
        <v>164</v>
      </c>
    </row>
    <row r="284" spans="1:12" x14ac:dyDescent="0.2">
      <c r="A284" s="456" t="s">
        <v>778</v>
      </c>
      <c r="B284" s="456" t="s">
        <v>1563</v>
      </c>
      <c r="C284" s="456" t="s">
        <v>779</v>
      </c>
      <c r="D284" s="456" t="s">
        <v>780</v>
      </c>
      <c r="E284" s="456" t="s">
        <v>1564</v>
      </c>
      <c r="F284" s="457" t="s">
        <v>1565</v>
      </c>
      <c r="G284" s="458">
        <v>20564.93</v>
      </c>
      <c r="H284" s="458">
        <v>113210.05</v>
      </c>
      <c r="I284" s="458">
        <v>-92645.119999999995</v>
      </c>
      <c r="J284" s="456" t="s">
        <v>1566</v>
      </c>
      <c r="K284" s="456" t="s">
        <v>778</v>
      </c>
      <c r="L284" s="456" t="s">
        <v>164</v>
      </c>
    </row>
    <row r="285" spans="1:12" x14ac:dyDescent="0.2">
      <c r="A285" s="456" t="s">
        <v>778</v>
      </c>
      <c r="B285" s="456" t="s">
        <v>1563</v>
      </c>
      <c r="C285" s="456" t="s">
        <v>779</v>
      </c>
      <c r="D285" s="456" t="s">
        <v>784</v>
      </c>
      <c r="E285" s="456" t="s">
        <v>1567</v>
      </c>
      <c r="F285" s="457" t="s">
        <v>1568</v>
      </c>
      <c r="G285" s="458">
        <v>193060.02</v>
      </c>
      <c r="H285" s="458">
        <v>395709.85</v>
      </c>
      <c r="I285" s="458">
        <v>-202649.83</v>
      </c>
      <c r="J285" s="456" t="s">
        <v>1258</v>
      </c>
      <c r="K285" s="456" t="s">
        <v>778</v>
      </c>
      <c r="L285" s="456" t="s">
        <v>164</v>
      </c>
    </row>
    <row r="286" spans="1:12" x14ac:dyDescent="0.2">
      <c r="A286" s="456" t="s">
        <v>778</v>
      </c>
      <c r="B286" s="456" t="s">
        <v>1563</v>
      </c>
      <c r="C286" s="456" t="s">
        <v>779</v>
      </c>
      <c r="D286" s="456" t="s">
        <v>784</v>
      </c>
      <c r="E286" s="456" t="s">
        <v>1569</v>
      </c>
      <c r="F286" s="457" t="s">
        <v>1570</v>
      </c>
      <c r="G286" s="461">
        <v>0</v>
      </c>
      <c r="H286" s="458">
        <v>2392.31</v>
      </c>
      <c r="I286" s="458">
        <v>-2392.31</v>
      </c>
      <c r="J286" s="456" t="s">
        <v>826</v>
      </c>
      <c r="K286" s="456" t="s">
        <v>778</v>
      </c>
      <c r="L286" s="456" t="s">
        <v>164</v>
      </c>
    </row>
    <row r="287" spans="1:12" x14ac:dyDescent="0.2">
      <c r="A287" s="456" t="s">
        <v>778</v>
      </c>
      <c r="B287" s="456" t="s">
        <v>1563</v>
      </c>
      <c r="C287" s="456" t="s">
        <v>779</v>
      </c>
      <c r="D287" s="456" t="s">
        <v>780</v>
      </c>
      <c r="E287" s="456" t="s">
        <v>1571</v>
      </c>
      <c r="F287" s="457" t="s">
        <v>1572</v>
      </c>
      <c r="G287" s="458">
        <v>403285.66</v>
      </c>
      <c r="H287" s="458">
        <v>1464447.91</v>
      </c>
      <c r="I287" s="458">
        <v>-1061162.25</v>
      </c>
      <c r="J287" s="456" t="s">
        <v>1573</v>
      </c>
      <c r="K287" s="456" t="s">
        <v>778</v>
      </c>
      <c r="L287" s="456" t="s">
        <v>164</v>
      </c>
    </row>
    <row r="288" spans="1:12" x14ac:dyDescent="0.2">
      <c r="A288" s="456" t="s">
        <v>778</v>
      </c>
      <c r="B288" s="456" t="s">
        <v>1563</v>
      </c>
      <c r="C288" s="456" t="s">
        <v>779</v>
      </c>
      <c r="D288" s="456" t="s">
        <v>780</v>
      </c>
      <c r="E288" s="456" t="s">
        <v>1574</v>
      </c>
      <c r="F288" s="457" t="s">
        <v>1575</v>
      </c>
      <c r="G288" s="458">
        <v>6330531.1699999999</v>
      </c>
      <c r="H288" s="458">
        <v>11381032.310000001</v>
      </c>
      <c r="I288" s="458">
        <v>-5050501.1399999997</v>
      </c>
      <c r="J288" s="456" t="s">
        <v>1576</v>
      </c>
      <c r="K288" s="456" t="s">
        <v>778</v>
      </c>
      <c r="L288" s="456" t="s">
        <v>164</v>
      </c>
    </row>
    <row r="289" spans="1:12" x14ac:dyDescent="0.2">
      <c r="A289" s="456" t="s">
        <v>778</v>
      </c>
      <c r="B289" s="456" t="s">
        <v>1563</v>
      </c>
      <c r="C289" s="456" t="s">
        <v>779</v>
      </c>
      <c r="D289" s="456" t="s">
        <v>780</v>
      </c>
      <c r="E289" s="456" t="s">
        <v>1577</v>
      </c>
      <c r="F289" s="457" t="s">
        <v>1578</v>
      </c>
      <c r="G289" s="458">
        <v>72083.89</v>
      </c>
      <c r="H289" s="458">
        <v>1528609.71</v>
      </c>
      <c r="I289" s="458">
        <v>-1456525.82</v>
      </c>
      <c r="J289" s="456" t="s">
        <v>1579</v>
      </c>
      <c r="K289" s="456" t="s">
        <v>778</v>
      </c>
      <c r="L289" s="456" t="s">
        <v>164</v>
      </c>
    </row>
    <row r="290" spans="1:12" x14ac:dyDescent="0.2">
      <c r="A290" s="456" t="s">
        <v>778</v>
      </c>
      <c r="B290" s="456" t="s">
        <v>1563</v>
      </c>
      <c r="C290" s="456" t="s">
        <v>779</v>
      </c>
      <c r="D290" s="456" t="s">
        <v>780</v>
      </c>
      <c r="E290" s="456" t="s">
        <v>1580</v>
      </c>
      <c r="F290" s="457" t="s">
        <v>1581</v>
      </c>
      <c r="G290" s="458">
        <v>1097855.58</v>
      </c>
      <c r="H290" s="458">
        <v>4214576.95</v>
      </c>
      <c r="I290" s="458">
        <v>-3116721.37</v>
      </c>
      <c r="J290" s="456" t="s">
        <v>1582</v>
      </c>
      <c r="K290" s="456" t="s">
        <v>778</v>
      </c>
      <c r="L290" s="456" t="s">
        <v>164</v>
      </c>
    </row>
    <row r="291" spans="1:12" x14ac:dyDescent="0.2">
      <c r="A291" s="456" t="s">
        <v>778</v>
      </c>
      <c r="B291" s="456" t="s">
        <v>1563</v>
      </c>
      <c r="C291" s="456" t="s">
        <v>779</v>
      </c>
      <c r="D291" s="456" t="s">
        <v>780</v>
      </c>
      <c r="E291" s="456" t="s">
        <v>1583</v>
      </c>
      <c r="F291" s="457" t="s">
        <v>1584</v>
      </c>
      <c r="G291" s="458">
        <v>7390828.8799999999</v>
      </c>
      <c r="H291" s="458">
        <v>12001964.439999999</v>
      </c>
      <c r="I291" s="458">
        <v>-4611135.5599999996</v>
      </c>
      <c r="J291" s="456" t="s">
        <v>1585</v>
      </c>
      <c r="K291" s="456" t="s">
        <v>778</v>
      </c>
      <c r="L291" s="456" t="s">
        <v>164</v>
      </c>
    </row>
    <row r="292" spans="1:12" x14ac:dyDescent="0.2">
      <c r="A292" s="456" t="s">
        <v>778</v>
      </c>
      <c r="B292" s="456" t="s">
        <v>1563</v>
      </c>
      <c r="C292" s="456" t="s">
        <v>779</v>
      </c>
      <c r="D292" s="456" t="s">
        <v>780</v>
      </c>
      <c r="E292" s="456" t="s">
        <v>1586</v>
      </c>
      <c r="F292" s="457" t="s">
        <v>1587</v>
      </c>
      <c r="G292" s="458">
        <v>281066.17</v>
      </c>
      <c r="H292" s="458">
        <v>683272.72</v>
      </c>
      <c r="I292" s="458">
        <v>-402206.55</v>
      </c>
      <c r="J292" s="456" t="s">
        <v>1243</v>
      </c>
      <c r="K292" s="456" t="s">
        <v>778</v>
      </c>
      <c r="L292" s="456" t="s">
        <v>164</v>
      </c>
    </row>
    <row r="293" spans="1:12" x14ac:dyDescent="0.2">
      <c r="A293" s="456" t="s">
        <v>778</v>
      </c>
      <c r="B293" s="456" t="s">
        <v>1563</v>
      </c>
      <c r="C293" s="456" t="s">
        <v>779</v>
      </c>
      <c r="D293" s="456" t="s">
        <v>780</v>
      </c>
      <c r="E293" s="456" t="s">
        <v>1588</v>
      </c>
      <c r="F293" s="457" t="s">
        <v>1589</v>
      </c>
      <c r="G293" s="458">
        <v>998191.56</v>
      </c>
      <c r="H293" s="458">
        <v>2197391.7599999998</v>
      </c>
      <c r="I293" s="458">
        <v>-1199200.2</v>
      </c>
      <c r="J293" s="456" t="s">
        <v>1590</v>
      </c>
      <c r="K293" s="456" t="s">
        <v>778</v>
      </c>
      <c r="L293" s="456" t="s">
        <v>164</v>
      </c>
    </row>
    <row r="294" spans="1:12" x14ac:dyDescent="0.2">
      <c r="A294" s="456" t="s">
        <v>778</v>
      </c>
      <c r="B294" s="456" t="s">
        <v>1563</v>
      </c>
      <c r="C294" s="456" t="s">
        <v>779</v>
      </c>
      <c r="D294" s="456" t="s">
        <v>780</v>
      </c>
      <c r="E294" s="456" t="s">
        <v>1591</v>
      </c>
      <c r="F294" s="457" t="s">
        <v>1592</v>
      </c>
      <c r="G294" s="458">
        <v>890813.68</v>
      </c>
      <c r="H294" s="458">
        <v>876372.9</v>
      </c>
      <c r="I294" s="458">
        <v>14440.78</v>
      </c>
      <c r="J294" s="456" t="s">
        <v>1593</v>
      </c>
      <c r="K294" s="456" t="s">
        <v>778</v>
      </c>
      <c r="L294" s="456" t="s">
        <v>164</v>
      </c>
    </row>
    <row r="295" spans="1:12" x14ac:dyDescent="0.2">
      <c r="A295" s="459" t="s">
        <v>794</v>
      </c>
      <c r="B295" s="459" t="s">
        <v>1563</v>
      </c>
      <c r="C295" s="459" t="s">
        <v>299</v>
      </c>
      <c r="D295" s="459" t="s">
        <v>299</v>
      </c>
      <c r="E295" s="459" t="s">
        <v>299</v>
      </c>
      <c r="F295" s="457" t="s">
        <v>299</v>
      </c>
      <c r="G295" s="460">
        <v>17678281.539999999</v>
      </c>
      <c r="H295" s="460">
        <v>34858980.909999996</v>
      </c>
      <c r="I295" s="460">
        <v>-17180699.370000001</v>
      </c>
      <c r="J295" s="459" t="s">
        <v>1594</v>
      </c>
      <c r="K295" s="459" t="s">
        <v>778</v>
      </c>
      <c r="L295" s="459" t="s">
        <v>164</v>
      </c>
    </row>
    <row r="296" spans="1:12" x14ac:dyDescent="0.2">
      <c r="A296" s="459" t="s">
        <v>848</v>
      </c>
      <c r="B296" s="459" t="s">
        <v>1595</v>
      </c>
      <c r="C296" s="459" t="s">
        <v>299</v>
      </c>
      <c r="D296" s="459" t="s">
        <v>299</v>
      </c>
      <c r="E296" s="459" t="s">
        <v>299</v>
      </c>
      <c r="F296" s="457" t="s">
        <v>1596</v>
      </c>
      <c r="G296" s="460">
        <v>17678281.539999999</v>
      </c>
      <c r="H296" s="460">
        <v>34858980.909999996</v>
      </c>
      <c r="I296" s="460">
        <v>-17180699.370000001</v>
      </c>
      <c r="J296" s="459" t="s">
        <v>1594</v>
      </c>
      <c r="K296" s="459" t="s">
        <v>778</v>
      </c>
      <c r="L296" s="459" t="s">
        <v>164</v>
      </c>
    </row>
    <row r="297" spans="1:12" x14ac:dyDescent="0.2">
      <c r="A297" s="456" t="s">
        <v>778</v>
      </c>
      <c r="B297" s="456" t="s">
        <v>1597</v>
      </c>
      <c r="C297" s="456" t="s">
        <v>779</v>
      </c>
      <c r="D297" s="456" t="s">
        <v>1220</v>
      </c>
      <c r="E297" s="456" t="s">
        <v>1598</v>
      </c>
      <c r="F297" s="457" t="s">
        <v>1599</v>
      </c>
      <c r="G297" s="458">
        <v>-825049</v>
      </c>
      <c r="H297" s="458">
        <v>1567193.61</v>
      </c>
      <c r="I297" s="458">
        <v>-2392242.61</v>
      </c>
      <c r="J297" s="456" t="s">
        <v>1600</v>
      </c>
      <c r="K297" s="456" t="s">
        <v>778</v>
      </c>
      <c r="L297" s="456" t="s">
        <v>164</v>
      </c>
    </row>
    <row r="298" spans="1:12" x14ac:dyDescent="0.2">
      <c r="A298" s="456" t="s">
        <v>778</v>
      </c>
      <c r="B298" s="456" t="s">
        <v>1597</v>
      </c>
      <c r="C298" s="456" t="s">
        <v>779</v>
      </c>
      <c r="D298" s="456" t="s">
        <v>1220</v>
      </c>
      <c r="E298" s="456" t="s">
        <v>1601</v>
      </c>
      <c r="F298" s="457" t="s">
        <v>1602</v>
      </c>
      <c r="G298" s="458">
        <v>-4322</v>
      </c>
      <c r="H298" s="458">
        <v>-8713.19</v>
      </c>
      <c r="I298" s="458">
        <v>4391.1899999999996</v>
      </c>
      <c r="J298" s="456" t="s">
        <v>1395</v>
      </c>
      <c r="K298" s="456" t="s">
        <v>778</v>
      </c>
      <c r="L298" s="456" t="s">
        <v>164</v>
      </c>
    </row>
    <row r="299" spans="1:12" x14ac:dyDescent="0.2">
      <c r="A299" s="459" t="s">
        <v>794</v>
      </c>
      <c r="B299" s="459" t="s">
        <v>1597</v>
      </c>
      <c r="C299" s="459" t="s">
        <v>299</v>
      </c>
      <c r="D299" s="459" t="s">
        <v>299</v>
      </c>
      <c r="E299" s="459" t="s">
        <v>299</v>
      </c>
      <c r="F299" s="457" t="s">
        <v>1603</v>
      </c>
      <c r="G299" s="460">
        <v>-829371</v>
      </c>
      <c r="H299" s="460">
        <v>1558480.42</v>
      </c>
      <c r="I299" s="460">
        <v>-2387851.42</v>
      </c>
      <c r="J299" s="459" t="s">
        <v>1604</v>
      </c>
      <c r="K299" s="459" t="s">
        <v>778</v>
      </c>
      <c r="L299" s="459" t="s">
        <v>164</v>
      </c>
    </row>
    <row r="300" spans="1:12" x14ac:dyDescent="0.2">
      <c r="A300" s="456" t="s">
        <v>778</v>
      </c>
      <c r="B300" s="456" t="s">
        <v>1605</v>
      </c>
      <c r="C300" s="456" t="s">
        <v>779</v>
      </c>
      <c r="D300" s="456" t="s">
        <v>780</v>
      </c>
      <c r="E300" s="456" t="s">
        <v>1606</v>
      </c>
      <c r="F300" s="457" t="s">
        <v>1607</v>
      </c>
      <c r="G300" s="458">
        <v>352993.25</v>
      </c>
      <c r="H300" s="458">
        <v>401772.23</v>
      </c>
      <c r="I300" s="458">
        <v>-48778.98</v>
      </c>
      <c r="J300" s="456" t="s">
        <v>1608</v>
      </c>
      <c r="K300" s="456" t="s">
        <v>778</v>
      </c>
      <c r="L300" s="456" t="s">
        <v>164</v>
      </c>
    </row>
    <row r="301" spans="1:12" x14ac:dyDescent="0.2">
      <c r="A301" s="456" t="s">
        <v>778</v>
      </c>
      <c r="B301" s="456" t="s">
        <v>1605</v>
      </c>
      <c r="C301" s="456" t="s">
        <v>779</v>
      </c>
      <c r="D301" s="456" t="s">
        <v>780</v>
      </c>
      <c r="E301" s="456" t="s">
        <v>1609</v>
      </c>
      <c r="F301" s="457" t="s">
        <v>1610</v>
      </c>
      <c r="G301" s="458">
        <v>121779.6</v>
      </c>
      <c r="H301" s="458">
        <v>26849.21</v>
      </c>
      <c r="I301" s="458">
        <v>94930.39</v>
      </c>
      <c r="J301" s="456" t="s">
        <v>1611</v>
      </c>
      <c r="K301" s="456" t="s">
        <v>778</v>
      </c>
      <c r="L301" s="456" t="s">
        <v>164</v>
      </c>
    </row>
    <row r="302" spans="1:12" x14ac:dyDescent="0.2">
      <c r="A302" s="459" t="s">
        <v>794</v>
      </c>
      <c r="B302" s="459" t="s">
        <v>1605</v>
      </c>
      <c r="C302" s="459" t="s">
        <v>299</v>
      </c>
      <c r="D302" s="459" t="s">
        <v>299</v>
      </c>
      <c r="E302" s="459" t="s">
        <v>299</v>
      </c>
      <c r="F302" s="457" t="s">
        <v>1612</v>
      </c>
      <c r="G302" s="460">
        <v>474772.85</v>
      </c>
      <c r="H302" s="460">
        <v>428621.44</v>
      </c>
      <c r="I302" s="460">
        <v>46151.41</v>
      </c>
      <c r="J302" s="459" t="s">
        <v>1613</v>
      </c>
      <c r="K302" s="459" t="s">
        <v>778</v>
      </c>
      <c r="L302" s="459" t="s">
        <v>164</v>
      </c>
    </row>
    <row r="303" spans="1:12" x14ac:dyDescent="0.2">
      <c r="A303" s="459" t="s">
        <v>848</v>
      </c>
      <c r="B303" s="459" t="s">
        <v>1614</v>
      </c>
      <c r="C303" s="459" t="s">
        <v>299</v>
      </c>
      <c r="D303" s="459" t="s">
        <v>299</v>
      </c>
      <c r="E303" s="459" t="s">
        <v>299</v>
      </c>
      <c r="F303" s="457" t="s">
        <v>1615</v>
      </c>
      <c r="G303" s="460">
        <v>-354598.15</v>
      </c>
      <c r="H303" s="460">
        <v>1987101.86</v>
      </c>
      <c r="I303" s="460">
        <v>-2341700.0099999998</v>
      </c>
      <c r="J303" s="459" t="s">
        <v>1616</v>
      </c>
      <c r="K303" s="459" t="s">
        <v>778</v>
      </c>
      <c r="L303" s="459" t="s">
        <v>164</v>
      </c>
    </row>
    <row r="304" spans="1:12" x14ac:dyDescent="0.2">
      <c r="A304" s="456" t="s">
        <v>778</v>
      </c>
      <c r="B304" s="456" t="s">
        <v>1617</v>
      </c>
      <c r="C304" s="456" t="s">
        <v>779</v>
      </c>
      <c r="D304" s="456" t="s">
        <v>780</v>
      </c>
      <c r="E304" s="456" t="s">
        <v>1618</v>
      </c>
      <c r="F304" s="457" t="s">
        <v>1619</v>
      </c>
      <c r="G304" s="458">
        <v>3821.49</v>
      </c>
      <c r="H304" s="458">
        <v>102443.59</v>
      </c>
      <c r="I304" s="458">
        <v>-98622.1</v>
      </c>
      <c r="J304" s="456" t="s">
        <v>1231</v>
      </c>
      <c r="K304" s="456" t="s">
        <v>778</v>
      </c>
      <c r="L304" s="456" t="s">
        <v>164</v>
      </c>
    </row>
    <row r="305" spans="1:12" x14ac:dyDescent="0.2">
      <c r="A305" s="456" t="s">
        <v>778</v>
      </c>
      <c r="B305" s="456" t="s">
        <v>1617</v>
      </c>
      <c r="C305" s="456" t="s">
        <v>779</v>
      </c>
      <c r="D305" s="456" t="s">
        <v>780</v>
      </c>
      <c r="E305" s="456" t="s">
        <v>1620</v>
      </c>
      <c r="F305" s="457" t="s">
        <v>1621</v>
      </c>
      <c r="G305" s="458">
        <v>1900</v>
      </c>
      <c r="H305" s="458">
        <v>26080.26</v>
      </c>
      <c r="I305" s="458">
        <v>-24180.26</v>
      </c>
      <c r="J305" s="456" t="s">
        <v>1622</v>
      </c>
      <c r="K305" s="456" t="s">
        <v>778</v>
      </c>
      <c r="L305" s="456" t="s">
        <v>164</v>
      </c>
    </row>
    <row r="306" spans="1:12" x14ac:dyDescent="0.2">
      <c r="A306" s="456" t="s">
        <v>778</v>
      </c>
      <c r="B306" s="456" t="s">
        <v>1617</v>
      </c>
      <c r="C306" s="456" t="s">
        <v>779</v>
      </c>
      <c r="D306" s="456" t="s">
        <v>780</v>
      </c>
      <c r="E306" s="456" t="s">
        <v>1623</v>
      </c>
      <c r="F306" s="457" t="s">
        <v>1624</v>
      </c>
      <c r="G306" s="458">
        <v>63936.99</v>
      </c>
      <c r="H306" s="458">
        <v>169334.82</v>
      </c>
      <c r="I306" s="458">
        <v>-105397.83</v>
      </c>
      <c r="J306" s="456" t="s">
        <v>1625</v>
      </c>
      <c r="K306" s="456" t="s">
        <v>778</v>
      </c>
      <c r="L306" s="456" t="s">
        <v>164</v>
      </c>
    </row>
    <row r="307" spans="1:12" x14ac:dyDescent="0.2">
      <c r="A307" s="456" t="s">
        <v>778</v>
      </c>
      <c r="B307" s="456" t="s">
        <v>1617</v>
      </c>
      <c r="C307" s="456" t="s">
        <v>779</v>
      </c>
      <c r="D307" s="456" t="s">
        <v>780</v>
      </c>
      <c r="E307" s="456" t="s">
        <v>1626</v>
      </c>
      <c r="F307" s="457" t="s">
        <v>1627</v>
      </c>
      <c r="G307" s="458">
        <v>131841.76</v>
      </c>
      <c r="H307" s="458">
        <v>253523.38</v>
      </c>
      <c r="I307" s="458">
        <v>-121681.62</v>
      </c>
      <c r="J307" s="456" t="s">
        <v>1628</v>
      </c>
      <c r="K307" s="456" t="s">
        <v>778</v>
      </c>
      <c r="L307" s="456" t="s">
        <v>164</v>
      </c>
    </row>
    <row r="308" spans="1:12" x14ac:dyDescent="0.2">
      <c r="A308" s="456" t="s">
        <v>778</v>
      </c>
      <c r="B308" s="456" t="s">
        <v>1617</v>
      </c>
      <c r="C308" s="456" t="s">
        <v>779</v>
      </c>
      <c r="D308" s="456" t="s">
        <v>784</v>
      </c>
      <c r="E308" s="456" t="s">
        <v>1629</v>
      </c>
      <c r="F308" s="457" t="s">
        <v>1630</v>
      </c>
      <c r="G308" s="458">
        <v>1961</v>
      </c>
      <c r="H308" s="458">
        <v>10524.4</v>
      </c>
      <c r="I308" s="458">
        <v>-8563.4</v>
      </c>
      <c r="J308" s="456" t="s">
        <v>1631</v>
      </c>
      <c r="K308" s="456" t="s">
        <v>778</v>
      </c>
      <c r="L308" s="456" t="s">
        <v>164</v>
      </c>
    </row>
    <row r="309" spans="1:12" x14ac:dyDescent="0.2">
      <c r="A309" s="456" t="s">
        <v>778</v>
      </c>
      <c r="B309" s="456" t="s">
        <v>1617</v>
      </c>
      <c r="C309" s="456" t="s">
        <v>780</v>
      </c>
      <c r="D309" s="456" t="s">
        <v>780</v>
      </c>
      <c r="E309" s="456" t="s">
        <v>1632</v>
      </c>
      <c r="F309" s="457" t="s">
        <v>1633</v>
      </c>
      <c r="G309" s="458">
        <v>271156.46999999997</v>
      </c>
      <c r="H309" s="458">
        <v>2193589.92</v>
      </c>
      <c r="I309" s="458">
        <v>-1922433.45</v>
      </c>
      <c r="J309" s="456" t="s">
        <v>1634</v>
      </c>
      <c r="K309" s="456" t="s">
        <v>778</v>
      </c>
      <c r="L309" s="456" t="s">
        <v>164</v>
      </c>
    </row>
    <row r="310" spans="1:12" x14ac:dyDescent="0.2">
      <c r="A310" s="456" t="s">
        <v>778</v>
      </c>
      <c r="B310" s="456" t="s">
        <v>1617</v>
      </c>
      <c r="C310" s="456" t="s">
        <v>779</v>
      </c>
      <c r="D310" s="456" t="s">
        <v>780</v>
      </c>
      <c r="E310" s="456" t="s">
        <v>1635</v>
      </c>
      <c r="F310" s="457" t="s">
        <v>1636</v>
      </c>
      <c r="G310" s="458">
        <v>318648.21999999997</v>
      </c>
      <c r="H310" s="458">
        <v>410229.77</v>
      </c>
      <c r="I310" s="458">
        <v>-91581.55</v>
      </c>
      <c r="J310" s="456" t="s">
        <v>1637</v>
      </c>
      <c r="K310" s="456" t="s">
        <v>778</v>
      </c>
      <c r="L310" s="456" t="s">
        <v>164</v>
      </c>
    </row>
    <row r="311" spans="1:12" x14ac:dyDescent="0.2">
      <c r="A311" s="456" t="s">
        <v>778</v>
      </c>
      <c r="B311" s="456" t="s">
        <v>1617</v>
      </c>
      <c r="C311" s="456" t="s">
        <v>779</v>
      </c>
      <c r="D311" s="456" t="s">
        <v>784</v>
      </c>
      <c r="E311" s="456" t="s">
        <v>1638</v>
      </c>
      <c r="F311" s="457" t="s">
        <v>1639</v>
      </c>
      <c r="G311" s="461">
        <v>376.21</v>
      </c>
      <c r="H311" s="461">
        <v>0</v>
      </c>
      <c r="I311" s="461">
        <v>376.21</v>
      </c>
      <c r="J311" s="456" t="s">
        <v>299</v>
      </c>
      <c r="K311" s="456" t="s">
        <v>778</v>
      </c>
      <c r="L311" s="456" t="s">
        <v>164</v>
      </c>
    </row>
    <row r="312" spans="1:12" x14ac:dyDescent="0.2">
      <c r="A312" s="456" t="s">
        <v>778</v>
      </c>
      <c r="B312" s="456" t="s">
        <v>1617</v>
      </c>
      <c r="C312" s="456" t="s">
        <v>779</v>
      </c>
      <c r="D312" s="456" t="s">
        <v>780</v>
      </c>
      <c r="E312" s="456" t="s">
        <v>1640</v>
      </c>
      <c r="F312" s="457" t="s">
        <v>1641</v>
      </c>
      <c r="G312" s="458">
        <v>199098.53</v>
      </c>
      <c r="H312" s="458">
        <v>479727.22</v>
      </c>
      <c r="I312" s="458">
        <v>-280628.69</v>
      </c>
      <c r="J312" s="456" t="s">
        <v>1642</v>
      </c>
      <c r="K312" s="456" t="s">
        <v>778</v>
      </c>
      <c r="L312" s="456" t="s">
        <v>164</v>
      </c>
    </row>
    <row r="313" spans="1:12" x14ac:dyDescent="0.2">
      <c r="A313" s="456" t="s">
        <v>778</v>
      </c>
      <c r="B313" s="456" t="s">
        <v>1617</v>
      </c>
      <c r="C313" s="456" t="s">
        <v>779</v>
      </c>
      <c r="D313" s="456" t="s">
        <v>1643</v>
      </c>
      <c r="E313" s="456" t="s">
        <v>1644</v>
      </c>
      <c r="F313" s="457" t="s">
        <v>1645</v>
      </c>
      <c r="G313" s="461">
        <v>0</v>
      </c>
      <c r="H313" s="458">
        <v>15447.75</v>
      </c>
      <c r="I313" s="458">
        <v>-15447.75</v>
      </c>
      <c r="J313" s="456" t="s">
        <v>826</v>
      </c>
      <c r="K313" s="456" t="s">
        <v>778</v>
      </c>
      <c r="L313" s="456" t="s">
        <v>164</v>
      </c>
    </row>
    <row r="314" spans="1:12" x14ac:dyDescent="0.2">
      <c r="A314" s="456" t="s">
        <v>778</v>
      </c>
      <c r="B314" s="456" t="s">
        <v>1617</v>
      </c>
      <c r="C314" s="456" t="s">
        <v>779</v>
      </c>
      <c r="D314" s="456" t="s">
        <v>780</v>
      </c>
      <c r="E314" s="456" t="s">
        <v>1646</v>
      </c>
      <c r="F314" s="457" t="s">
        <v>1647</v>
      </c>
      <c r="G314" s="458">
        <v>-853564.36</v>
      </c>
      <c r="H314" s="461">
        <v>0</v>
      </c>
      <c r="I314" s="458">
        <v>-853564.36</v>
      </c>
      <c r="J314" s="456" t="s">
        <v>299</v>
      </c>
      <c r="K314" s="456" t="s">
        <v>778</v>
      </c>
      <c r="L314" s="456" t="s">
        <v>164</v>
      </c>
    </row>
    <row r="315" spans="1:12" x14ac:dyDescent="0.2">
      <c r="A315" s="456" t="s">
        <v>778</v>
      </c>
      <c r="B315" s="456" t="s">
        <v>1617</v>
      </c>
      <c r="C315" s="456" t="s">
        <v>779</v>
      </c>
      <c r="D315" s="456" t="s">
        <v>780</v>
      </c>
      <c r="E315" s="456" t="s">
        <v>1648</v>
      </c>
      <c r="F315" s="457" t="s">
        <v>1649</v>
      </c>
      <c r="G315" s="458">
        <v>25899.15</v>
      </c>
      <c r="H315" s="458">
        <v>56231.25</v>
      </c>
      <c r="I315" s="458">
        <v>-30332.1</v>
      </c>
      <c r="J315" s="456" t="s">
        <v>1249</v>
      </c>
      <c r="K315" s="456" t="s">
        <v>778</v>
      </c>
      <c r="L315" s="456" t="s">
        <v>164</v>
      </c>
    </row>
    <row r="316" spans="1:12" x14ac:dyDescent="0.2">
      <c r="A316" s="456" t="s">
        <v>778</v>
      </c>
      <c r="B316" s="456" t="s">
        <v>1617</v>
      </c>
      <c r="C316" s="456" t="s">
        <v>779</v>
      </c>
      <c r="D316" s="456" t="s">
        <v>784</v>
      </c>
      <c r="E316" s="456" t="s">
        <v>1650</v>
      </c>
      <c r="F316" s="457" t="s">
        <v>1651</v>
      </c>
      <c r="G316" s="461">
        <v>0</v>
      </c>
      <c r="H316" s="461">
        <v>250.5</v>
      </c>
      <c r="I316" s="461">
        <v>-250.5</v>
      </c>
      <c r="J316" s="456" t="s">
        <v>826</v>
      </c>
      <c r="K316" s="456" t="s">
        <v>778</v>
      </c>
      <c r="L316" s="456" t="s">
        <v>164</v>
      </c>
    </row>
    <row r="317" spans="1:12" x14ac:dyDescent="0.2">
      <c r="A317" s="456" t="s">
        <v>778</v>
      </c>
      <c r="B317" s="456" t="s">
        <v>1617</v>
      </c>
      <c r="C317" s="456" t="s">
        <v>779</v>
      </c>
      <c r="D317" s="456" t="s">
        <v>1021</v>
      </c>
      <c r="E317" s="456" t="s">
        <v>1652</v>
      </c>
      <c r="F317" s="457" t="s">
        <v>1653</v>
      </c>
      <c r="G317" s="461">
        <v>0</v>
      </c>
      <c r="H317" s="458">
        <v>-38941.68</v>
      </c>
      <c r="I317" s="458">
        <v>38941.68</v>
      </c>
      <c r="J317" s="456" t="s">
        <v>810</v>
      </c>
      <c r="K317" s="456" t="s">
        <v>778</v>
      </c>
      <c r="L317" s="456" t="s">
        <v>164</v>
      </c>
    </row>
    <row r="318" spans="1:12" x14ac:dyDescent="0.2">
      <c r="A318" s="459" t="s">
        <v>794</v>
      </c>
      <c r="B318" s="459" t="s">
        <v>1617</v>
      </c>
      <c r="C318" s="459" t="s">
        <v>299</v>
      </c>
      <c r="D318" s="459" t="s">
        <v>299</v>
      </c>
      <c r="E318" s="459" t="s">
        <v>299</v>
      </c>
      <c r="F318" s="457" t="s">
        <v>1654</v>
      </c>
      <c r="G318" s="460">
        <v>165075.46</v>
      </c>
      <c r="H318" s="460">
        <v>3678441.18</v>
      </c>
      <c r="I318" s="460">
        <v>-3513365.72</v>
      </c>
      <c r="J318" s="459" t="s">
        <v>1655</v>
      </c>
      <c r="K318" s="459" t="s">
        <v>778</v>
      </c>
      <c r="L318" s="459" t="s">
        <v>164</v>
      </c>
    </row>
    <row r="319" spans="1:12" x14ac:dyDescent="0.2">
      <c r="A319" s="456" t="s">
        <v>884</v>
      </c>
      <c r="B319" s="456" t="s">
        <v>1656</v>
      </c>
      <c r="C319" s="456" t="s">
        <v>779</v>
      </c>
      <c r="D319" s="456" t="s">
        <v>780</v>
      </c>
      <c r="E319" s="456" t="s">
        <v>1657</v>
      </c>
      <c r="F319" s="457" t="s">
        <v>1658</v>
      </c>
      <c r="G319" s="458">
        <v>1232921.6299999999</v>
      </c>
      <c r="H319" s="458">
        <v>2417660.58</v>
      </c>
      <c r="I319" s="458">
        <v>-1184738.95</v>
      </c>
      <c r="J319" s="456" t="s">
        <v>1341</v>
      </c>
      <c r="K319" s="456" t="s">
        <v>778</v>
      </c>
      <c r="L319" s="456" t="s">
        <v>164</v>
      </c>
    </row>
    <row r="320" spans="1:12" x14ac:dyDescent="0.2">
      <c r="A320" s="456" t="s">
        <v>884</v>
      </c>
      <c r="B320" s="456" t="s">
        <v>1656</v>
      </c>
      <c r="C320" s="456" t="s">
        <v>779</v>
      </c>
      <c r="D320" s="456" t="s">
        <v>780</v>
      </c>
      <c r="E320" s="456" t="s">
        <v>1659</v>
      </c>
      <c r="F320" s="457" t="s">
        <v>1660</v>
      </c>
      <c r="G320" s="458">
        <v>-46331.07</v>
      </c>
      <c r="H320" s="458">
        <v>2988.31</v>
      </c>
      <c r="I320" s="458">
        <v>-49319.38</v>
      </c>
      <c r="J320" s="456" t="s">
        <v>1661</v>
      </c>
      <c r="K320" s="456" t="s">
        <v>778</v>
      </c>
      <c r="L320" s="456" t="s">
        <v>164</v>
      </c>
    </row>
    <row r="321" spans="1:12" x14ac:dyDescent="0.2">
      <c r="A321" s="456" t="s">
        <v>884</v>
      </c>
      <c r="B321" s="456" t="s">
        <v>1656</v>
      </c>
      <c r="C321" s="456" t="s">
        <v>779</v>
      </c>
      <c r="D321" s="456" t="s">
        <v>780</v>
      </c>
      <c r="E321" s="456" t="s">
        <v>1662</v>
      </c>
      <c r="F321" s="457" t="s">
        <v>1663</v>
      </c>
      <c r="G321" s="458">
        <v>586467.93000000005</v>
      </c>
      <c r="H321" s="458">
        <v>1006264.69</v>
      </c>
      <c r="I321" s="458">
        <v>-419796.76</v>
      </c>
      <c r="J321" s="456" t="s">
        <v>1664</v>
      </c>
      <c r="K321" s="456" t="s">
        <v>778</v>
      </c>
      <c r="L321" s="456" t="s">
        <v>164</v>
      </c>
    </row>
    <row r="322" spans="1:12" x14ac:dyDescent="0.2">
      <c r="A322" s="459" t="s">
        <v>778</v>
      </c>
      <c r="B322" s="459" t="s">
        <v>1656</v>
      </c>
      <c r="C322" s="459" t="s">
        <v>299</v>
      </c>
      <c r="D322" s="459" t="s">
        <v>299</v>
      </c>
      <c r="E322" s="459" t="s">
        <v>299</v>
      </c>
      <c r="F322" s="457" t="s">
        <v>1665</v>
      </c>
      <c r="G322" s="460">
        <v>1773058.49</v>
      </c>
      <c r="H322" s="460">
        <v>3426913.58</v>
      </c>
      <c r="I322" s="460">
        <v>-1653855.09</v>
      </c>
      <c r="J322" s="459" t="s">
        <v>1666</v>
      </c>
      <c r="K322" s="459" t="s">
        <v>778</v>
      </c>
      <c r="L322" s="459" t="s">
        <v>164</v>
      </c>
    </row>
    <row r="323" spans="1:12" x14ac:dyDescent="0.2">
      <c r="A323" s="459" t="s">
        <v>794</v>
      </c>
      <c r="B323" s="459" t="s">
        <v>1667</v>
      </c>
      <c r="C323" s="459" t="s">
        <v>299</v>
      </c>
      <c r="D323" s="459" t="s">
        <v>299</v>
      </c>
      <c r="E323" s="459" t="s">
        <v>299</v>
      </c>
      <c r="F323" s="457" t="s">
        <v>1668</v>
      </c>
      <c r="G323" s="460">
        <v>1773058.49</v>
      </c>
      <c r="H323" s="460">
        <v>3426913.58</v>
      </c>
      <c r="I323" s="460">
        <v>-1653855.09</v>
      </c>
      <c r="J323" s="459" t="s">
        <v>1666</v>
      </c>
      <c r="K323" s="459" t="s">
        <v>778</v>
      </c>
      <c r="L323" s="459" t="s">
        <v>164</v>
      </c>
    </row>
    <row r="324" spans="1:12" x14ac:dyDescent="0.2">
      <c r="A324" s="456" t="s">
        <v>778</v>
      </c>
      <c r="B324" s="456" t="s">
        <v>1669</v>
      </c>
      <c r="C324" s="456" t="s">
        <v>779</v>
      </c>
      <c r="D324" s="456" t="s">
        <v>780</v>
      </c>
      <c r="E324" s="456" t="s">
        <v>1670</v>
      </c>
      <c r="F324" s="457" t="s">
        <v>1671</v>
      </c>
      <c r="G324" s="458">
        <v>7329.03</v>
      </c>
      <c r="H324" s="458">
        <v>21479.919999999998</v>
      </c>
      <c r="I324" s="458">
        <v>-14150.89</v>
      </c>
      <c r="J324" s="456" t="s">
        <v>1672</v>
      </c>
      <c r="K324" s="456" t="s">
        <v>778</v>
      </c>
      <c r="L324" s="456" t="s">
        <v>164</v>
      </c>
    </row>
    <row r="325" spans="1:12" x14ac:dyDescent="0.2">
      <c r="A325" s="456" t="s">
        <v>778</v>
      </c>
      <c r="B325" s="456" t="s">
        <v>1669</v>
      </c>
      <c r="C325" s="456" t="s">
        <v>779</v>
      </c>
      <c r="D325" s="456" t="s">
        <v>780</v>
      </c>
      <c r="E325" s="456" t="s">
        <v>1673</v>
      </c>
      <c r="F325" s="457" t="s">
        <v>1674</v>
      </c>
      <c r="G325" s="458">
        <v>960710.65</v>
      </c>
      <c r="H325" s="458">
        <v>2352237.0699999998</v>
      </c>
      <c r="I325" s="458">
        <v>-1391526.42</v>
      </c>
      <c r="J325" s="456" t="s">
        <v>1675</v>
      </c>
      <c r="K325" s="456" t="s">
        <v>778</v>
      </c>
      <c r="L325" s="456" t="s">
        <v>164</v>
      </c>
    </row>
    <row r="326" spans="1:12" x14ac:dyDescent="0.2">
      <c r="A326" s="456" t="s">
        <v>778</v>
      </c>
      <c r="B326" s="456" t="s">
        <v>1669</v>
      </c>
      <c r="C326" s="456" t="s">
        <v>779</v>
      </c>
      <c r="D326" s="456" t="s">
        <v>784</v>
      </c>
      <c r="E326" s="456" t="s">
        <v>1676</v>
      </c>
      <c r="F326" s="457" t="s">
        <v>1677</v>
      </c>
      <c r="G326" s="458">
        <v>16310.69</v>
      </c>
      <c r="H326" s="458">
        <v>18898.82</v>
      </c>
      <c r="I326" s="458">
        <v>-2588.13</v>
      </c>
      <c r="J326" s="456" t="s">
        <v>1678</v>
      </c>
      <c r="K326" s="456" t="s">
        <v>778</v>
      </c>
      <c r="L326" s="456" t="s">
        <v>164</v>
      </c>
    </row>
    <row r="327" spans="1:12" x14ac:dyDescent="0.2">
      <c r="A327" s="459" t="s">
        <v>794</v>
      </c>
      <c r="B327" s="459" t="s">
        <v>1669</v>
      </c>
      <c r="C327" s="459" t="s">
        <v>299</v>
      </c>
      <c r="D327" s="459" t="s">
        <v>299</v>
      </c>
      <c r="E327" s="459" t="s">
        <v>299</v>
      </c>
      <c r="F327" s="457" t="s">
        <v>1679</v>
      </c>
      <c r="G327" s="460">
        <v>984350.37</v>
      </c>
      <c r="H327" s="460">
        <v>2392615.81</v>
      </c>
      <c r="I327" s="460">
        <v>-1408265.44</v>
      </c>
      <c r="J327" s="459" t="s">
        <v>1243</v>
      </c>
      <c r="K327" s="459" t="s">
        <v>778</v>
      </c>
      <c r="L327" s="459" t="s">
        <v>164</v>
      </c>
    </row>
    <row r="328" spans="1:12" x14ac:dyDescent="0.2">
      <c r="A328" s="456" t="s">
        <v>884</v>
      </c>
      <c r="B328" s="456" t="s">
        <v>1680</v>
      </c>
      <c r="C328" s="456" t="s">
        <v>779</v>
      </c>
      <c r="D328" s="456" t="s">
        <v>780</v>
      </c>
      <c r="E328" s="456" t="s">
        <v>1681</v>
      </c>
      <c r="F328" s="457" t="s">
        <v>1682</v>
      </c>
      <c r="G328" s="458">
        <v>45330.15</v>
      </c>
      <c r="H328" s="458">
        <v>103737.93</v>
      </c>
      <c r="I328" s="458">
        <v>-58407.78</v>
      </c>
      <c r="J328" s="456" t="s">
        <v>1683</v>
      </c>
      <c r="K328" s="456" t="s">
        <v>778</v>
      </c>
      <c r="L328" s="456" t="s">
        <v>164</v>
      </c>
    </row>
    <row r="329" spans="1:12" x14ac:dyDescent="0.2">
      <c r="A329" s="456" t="s">
        <v>884</v>
      </c>
      <c r="B329" s="456" t="s">
        <v>1680</v>
      </c>
      <c r="C329" s="456" t="s">
        <v>779</v>
      </c>
      <c r="D329" s="456" t="s">
        <v>780</v>
      </c>
      <c r="E329" s="456" t="s">
        <v>1684</v>
      </c>
      <c r="F329" s="457" t="s">
        <v>1685</v>
      </c>
      <c r="G329" s="458">
        <v>21357.74</v>
      </c>
      <c r="H329" s="458">
        <v>18946.25</v>
      </c>
      <c r="I329" s="458">
        <v>2411.4899999999998</v>
      </c>
      <c r="J329" s="456" t="s">
        <v>1686</v>
      </c>
      <c r="K329" s="456" t="s">
        <v>778</v>
      </c>
      <c r="L329" s="456" t="s">
        <v>164</v>
      </c>
    </row>
    <row r="330" spans="1:12" x14ac:dyDescent="0.2">
      <c r="A330" s="456" t="s">
        <v>884</v>
      </c>
      <c r="B330" s="456" t="s">
        <v>1680</v>
      </c>
      <c r="C330" s="456" t="s">
        <v>779</v>
      </c>
      <c r="D330" s="456" t="s">
        <v>780</v>
      </c>
      <c r="E330" s="456" t="s">
        <v>1687</v>
      </c>
      <c r="F330" s="457" t="s">
        <v>1688</v>
      </c>
      <c r="G330" s="458">
        <v>12004.44</v>
      </c>
      <c r="H330" s="458">
        <v>37669.379999999997</v>
      </c>
      <c r="I330" s="458">
        <v>-25664.94</v>
      </c>
      <c r="J330" s="456" t="s">
        <v>1689</v>
      </c>
      <c r="K330" s="456" t="s">
        <v>778</v>
      </c>
      <c r="L330" s="456" t="s">
        <v>164</v>
      </c>
    </row>
    <row r="331" spans="1:12" x14ac:dyDescent="0.2">
      <c r="A331" s="456" t="s">
        <v>884</v>
      </c>
      <c r="B331" s="456" t="s">
        <v>1680</v>
      </c>
      <c r="C331" s="456" t="s">
        <v>779</v>
      </c>
      <c r="D331" s="456" t="s">
        <v>780</v>
      </c>
      <c r="E331" s="456" t="s">
        <v>1690</v>
      </c>
      <c r="F331" s="457" t="s">
        <v>1691</v>
      </c>
      <c r="G331" s="458">
        <v>154807.74</v>
      </c>
      <c r="H331" s="458">
        <v>720018.95</v>
      </c>
      <c r="I331" s="458">
        <v>-565211.21</v>
      </c>
      <c r="J331" s="456" t="s">
        <v>1692</v>
      </c>
      <c r="K331" s="456" t="s">
        <v>778</v>
      </c>
      <c r="L331" s="456" t="s">
        <v>164</v>
      </c>
    </row>
    <row r="332" spans="1:12" x14ac:dyDescent="0.2">
      <c r="A332" s="456" t="s">
        <v>884</v>
      </c>
      <c r="B332" s="456" t="s">
        <v>1680</v>
      </c>
      <c r="C332" s="456" t="s">
        <v>779</v>
      </c>
      <c r="D332" s="456" t="s">
        <v>780</v>
      </c>
      <c r="E332" s="456" t="s">
        <v>1693</v>
      </c>
      <c r="F332" s="457" t="s">
        <v>1694</v>
      </c>
      <c r="G332" s="458">
        <v>116261.23</v>
      </c>
      <c r="H332" s="458">
        <v>961465.69</v>
      </c>
      <c r="I332" s="458">
        <v>-845204.46</v>
      </c>
      <c r="J332" s="456" t="s">
        <v>1695</v>
      </c>
      <c r="K332" s="456" t="s">
        <v>778</v>
      </c>
      <c r="L332" s="456" t="s">
        <v>164</v>
      </c>
    </row>
    <row r="333" spans="1:12" x14ac:dyDescent="0.2">
      <c r="A333" s="456" t="s">
        <v>884</v>
      </c>
      <c r="B333" s="456" t="s">
        <v>1680</v>
      </c>
      <c r="C333" s="456" t="s">
        <v>779</v>
      </c>
      <c r="D333" s="456" t="s">
        <v>780</v>
      </c>
      <c r="E333" s="456" t="s">
        <v>1696</v>
      </c>
      <c r="F333" s="457" t="s">
        <v>1697</v>
      </c>
      <c r="G333" s="458">
        <v>3239.58</v>
      </c>
      <c r="H333" s="458">
        <v>4933.74</v>
      </c>
      <c r="I333" s="458">
        <v>-1694.16</v>
      </c>
      <c r="J333" s="456" t="s">
        <v>1698</v>
      </c>
      <c r="K333" s="456" t="s">
        <v>778</v>
      </c>
      <c r="L333" s="456" t="s">
        <v>164</v>
      </c>
    </row>
    <row r="334" spans="1:12" x14ac:dyDescent="0.2">
      <c r="A334" s="456" t="s">
        <v>884</v>
      </c>
      <c r="B334" s="456" t="s">
        <v>1680</v>
      </c>
      <c r="C334" s="456" t="s">
        <v>779</v>
      </c>
      <c r="D334" s="456" t="s">
        <v>780</v>
      </c>
      <c r="E334" s="456" t="s">
        <v>1699</v>
      </c>
      <c r="F334" s="457" t="s">
        <v>1700</v>
      </c>
      <c r="G334" s="458">
        <v>81398.39</v>
      </c>
      <c r="H334" s="458">
        <v>114692.82</v>
      </c>
      <c r="I334" s="458">
        <v>-33294.43</v>
      </c>
      <c r="J334" s="456" t="s">
        <v>1701</v>
      </c>
      <c r="K334" s="456" t="s">
        <v>778</v>
      </c>
      <c r="L334" s="456" t="s">
        <v>164</v>
      </c>
    </row>
    <row r="335" spans="1:12" x14ac:dyDescent="0.2">
      <c r="A335" s="456" t="s">
        <v>884</v>
      </c>
      <c r="B335" s="456" t="s">
        <v>1680</v>
      </c>
      <c r="C335" s="456" t="s">
        <v>779</v>
      </c>
      <c r="D335" s="456" t="s">
        <v>780</v>
      </c>
      <c r="E335" s="456" t="s">
        <v>1702</v>
      </c>
      <c r="F335" s="457" t="s">
        <v>1703</v>
      </c>
      <c r="G335" s="458">
        <v>101972.1</v>
      </c>
      <c r="H335" s="458">
        <v>84383.35</v>
      </c>
      <c r="I335" s="458">
        <v>17588.75</v>
      </c>
      <c r="J335" s="456" t="s">
        <v>1704</v>
      </c>
      <c r="K335" s="456" t="s">
        <v>778</v>
      </c>
      <c r="L335" s="456" t="s">
        <v>164</v>
      </c>
    </row>
    <row r="336" spans="1:12" x14ac:dyDescent="0.2">
      <c r="A336" s="456" t="s">
        <v>884</v>
      </c>
      <c r="B336" s="456" t="s">
        <v>1680</v>
      </c>
      <c r="C336" s="456" t="s">
        <v>779</v>
      </c>
      <c r="D336" s="456" t="s">
        <v>784</v>
      </c>
      <c r="E336" s="456" t="s">
        <v>1705</v>
      </c>
      <c r="F336" s="457" t="s">
        <v>1706</v>
      </c>
      <c r="G336" s="458">
        <v>38416.75</v>
      </c>
      <c r="H336" s="458">
        <v>183033.24</v>
      </c>
      <c r="I336" s="458">
        <v>-144616.49</v>
      </c>
      <c r="J336" s="456" t="s">
        <v>1707</v>
      </c>
      <c r="K336" s="456" t="s">
        <v>778</v>
      </c>
      <c r="L336" s="456" t="s">
        <v>164</v>
      </c>
    </row>
    <row r="337" spans="1:12" x14ac:dyDescent="0.2">
      <c r="A337" s="456" t="s">
        <v>884</v>
      </c>
      <c r="B337" s="456" t="s">
        <v>1680</v>
      </c>
      <c r="C337" s="456" t="s">
        <v>779</v>
      </c>
      <c r="D337" s="456" t="s">
        <v>784</v>
      </c>
      <c r="E337" s="456" t="s">
        <v>1708</v>
      </c>
      <c r="F337" s="457" t="s">
        <v>1709</v>
      </c>
      <c r="G337" s="458">
        <v>29759.72</v>
      </c>
      <c r="H337" s="458">
        <v>79338.039999999994</v>
      </c>
      <c r="I337" s="458">
        <v>-49578.32</v>
      </c>
      <c r="J337" s="456" t="s">
        <v>1329</v>
      </c>
      <c r="K337" s="456" t="s">
        <v>778</v>
      </c>
      <c r="L337" s="456" t="s">
        <v>164</v>
      </c>
    </row>
    <row r="338" spans="1:12" x14ac:dyDescent="0.2">
      <c r="A338" s="456" t="s">
        <v>884</v>
      </c>
      <c r="B338" s="456" t="s">
        <v>1680</v>
      </c>
      <c r="C338" s="456" t="s">
        <v>779</v>
      </c>
      <c r="D338" s="456" t="s">
        <v>784</v>
      </c>
      <c r="E338" s="456" t="s">
        <v>1710</v>
      </c>
      <c r="F338" s="457" t="s">
        <v>1711</v>
      </c>
      <c r="G338" s="461">
        <v>109.91</v>
      </c>
      <c r="H338" s="458">
        <v>3271.52</v>
      </c>
      <c r="I338" s="458">
        <v>-3161.61</v>
      </c>
      <c r="J338" s="456" t="s">
        <v>1712</v>
      </c>
      <c r="K338" s="456" t="s">
        <v>778</v>
      </c>
      <c r="L338" s="456" t="s">
        <v>164</v>
      </c>
    </row>
    <row r="339" spans="1:12" x14ac:dyDescent="0.2">
      <c r="A339" s="456" t="s">
        <v>884</v>
      </c>
      <c r="B339" s="456" t="s">
        <v>1680</v>
      </c>
      <c r="C339" s="456" t="s">
        <v>779</v>
      </c>
      <c r="D339" s="456" t="s">
        <v>780</v>
      </c>
      <c r="E339" s="456" t="s">
        <v>1713</v>
      </c>
      <c r="F339" s="457" t="s">
        <v>1714</v>
      </c>
      <c r="G339" s="458">
        <v>36531</v>
      </c>
      <c r="H339" s="458">
        <v>120981.31</v>
      </c>
      <c r="I339" s="458">
        <v>-84450.31</v>
      </c>
      <c r="J339" s="456" t="s">
        <v>1715</v>
      </c>
      <c r="K339" s="456" t="s">
        <v>778</v>
      </c>
      <c r="L339" s="456" t="s">
        <v>164</v>
      </c>
    </row>
    <row r="340" spans="1:12" x14ac:dyDescent="0.2">
      <c r="A340" s="456" t="s">
        <v>884</v>
      </c>
      <c r="B340" s="456" t="s">
        <v>1680</v>
      </c>
      <c r="C340" s="456" t="s">
        <v>779</v>
      </c>
      <c r="D340" s="456" t="s">
        <v>784</v>
      </c>
      <c r="E340" s="456" t="s">
        <v>1716</v>
      </c>
      <c r="F340" s="457" t="s">
        <v>1717</v>
      </c>
      <c r="G340" s="458">
        <v>169708.66</v>
      </c>
      <c r="H340" s="458">
        <v>350976.37</v>
      </c>
      <c r="I340" s="458">
        <v>-181267.71</v>
      </c>
      <c r="J340" s="456" t="s">
        <v>1718</v>
      </c>
      <c r="K340" s="456" t="s">
        <v>778</v>
      </c>
      <c r="L340" s="456" t="s">
        <v>164</v>
      </c>
    </row>
    <row r="341" spans="1:12" x14ac:dyDescent="0.2">
      <c r="A341" s="456" t="s">
        <v>884</v>
      </c>
      <c r="B341" s="456" t="s">
        <v>1680</v>
      </c>
      <c r="C341" s="456" t="s">
        <v>779</v>
      </c>
      <c r="D341" s="456" t="s">
        <v>780</v>
      </c>
      <c r="E341" s="456" t="s">
        <v>1719</v>
      </c>
      <c r="F341" s="457" t="s">
        <v>1720</v>
      </c>
      <c r="G341" s="458">
        <v>13826.27</v>
      </c>
      <c r="H341" s="458">
        <v>11411.96</v>
      </c>
      <c r="I341" s="458">
        <v>2414.31</v>
      </c>
      <c r="J341" s="456" t="s">
        <v>1721</v>
      </c>
      <c r="K341" s="456" t="s">
        <v>778</v>
      </c>
      <c r="L341" s="456" t="s">
        <v>164</v>
      </c>
    </row>
    <row r="342" spans="1:12" x14ac:dyDescent="0.2">
      <c r="A342" s="456" t="s">
        <v>884</v>
      </c>
      <c r="B342" s="456" t="s">
        <v>1680</v>
      </c>
      <c r="C342" s="456" t="s">
        <v>779</v>
      </c>
      <c r="D342" s="456" t="s">
        <v>784</v>
      </c>
      <c r="E342" s="456" t="s">
        <v>1722</v>
      </c>
      <c r="F342" s="457" t="s">
        <v>1723</v>
      </c>
      <c r="G342" s="458">
        <v>15253.05</v>
      </c>
      <c r="H342" s="458">
        <v>59607.74</v>
      </c>
      <c r="I342" s="458">
        <v>-44354.69</v>
      </c>
      <c r="J342" s="456" t="s">
        <v>1724</v>
      </c>
      <c r="K342" s="456" t="s">
        <v>778</v>
      </c>
      <c r="L342" s="456" t="s">
        <v>164</v>
      </c>
    </row>
    <row r="343" spans="1:12" x14ac:dyDescent="0.2">
      <c r="A343" s="456" t="s">
        <v>884</v>
      </c>
      <c r="B343" s="456" t="s">
        <v>1680</v>
      </c>
      <c r="C343" s="456" t="s">
        <v>779</v>
      </c>
      <c r="D343" s="456" t="s">
        <v>780</v>
      </c>
      <c r="E343" s="456" t="s">
        <v>1725</v>
      </c>
      <c r="F343" s="457" t="s">
        <v>1726</v>
      </c>
      <c r="G343" s="458">
        <v>96165.15</v>
      </c>
      <c r="H343" s="461">
        <v>0</v>
      </c>
      <c r="I343" s="458">
        <v>96165.15</v>
      </c>
      <c r="J343" s="456" t="s">
        <v>299</v>
      </c>
      <c r="K343" s="456" t="s">
        <v>778</v>
      </c>
      <c r="L343" s="456" t="s">
        <v>164</v>
      </c>
    </row>
    <row r="344" spans="1:12" x14ac:dyDescent="0.2">
      <c r="A344" s="456" t="s">
        <v>884</v>
      </c>
      <c r="B344" s="456" t="s">
        <v>1680</v>
      </c>
      <c r="C344" s="456" t="s">
        <v>779</v>
      </c>
      <c r="D344" s="456" t="s">
        <v>780</v>
      </c>
      <c r="E344" s="456" t="s">
        <v>1727</v>
      </c>
      <c r="F344" s="457" t="s">
        <v>1728</v>
      </c>
      <c r="G344" s="458">
        <v>10246.049999999999</v>
      </c>
      <c r="H344" s="458">
        <v>32141.19</v>
      </c>
      <c r="I344" s="458">
        <v>-21895.14</v>
      </c>
      <c r="J344" s="456" t="s">
        <v>1689</v>
      </c>
      <c r="K344" s="456" t="s">
        <v>778</v>
      </c>
      <c r="L344" s="456" t="s">
        <v>164</v>
      </c>
    </row>
    <row r="345" spans="1:12" x14ac:dyDescent="0.2">
      <c r="A345" s="456" t="s">
        <v>884</v>
      </c>
      <c r="B345" s="456" t="s">
        <v>1680</v>
      </c>
      <c r="C345" s="456" t="s">
        <v>779</v>
      </c>
      <c r="D345" s="456" t="s">
        <v>784</v>
      </c>
      <c r="E345" s="456" t="s">
        <v>1729</v>
      </c>
      <c r="F345" s="457" t="s">
        <v>1730</v>
      </c>
      <c r="G345" s="458">
        <v>12880.71</v>
      </c>
      <c r="H345" s="458">
        <v>89147.26</v>
      </c>
      <c r="I345" s="458">
        <v>-76266.55</v>
      </c>
      <c r="J345" s="456" t="s">
        <v>1731</v>
      </c>
      <c r="K345" s="456" t="s">
        <v>778</v>
      </c>
      <c r="L345" s="456" t="s">
        <v>164</v>
      </c>
    </row>
    <row r="346" spans="1:12" x14ac:dyDescent="0.2">
      <c r="A346" s="456" t="s">
        <v>884</v>
      </c>
      <c r="B346" s="456" t="s">
        <v>1680</v>
      </c>
      <c r="C346" s="456" t="s">
        <v>779</v>
      </c>
      <c r="D346" s="456" t="s">
        <v>1021</v>
      </c>
      <c r="E346" s="456" t="s">
        <v>1732</v>
      </c>
      <c r="F346" s="457" t="s">
        <v>1733</v>
      </c>
      <c r="G346" s="458">
        <v>164401.29999999999</v>
      </c>
      <c r="H346" s="458">
        <v>257627.67</v>
      </c>
      <c r="I346" s="458">
        <v>-93226.37</v>
      </c>
      <c r="J346" s="456" t="s">
        <v>1734</v>
      </c>
      <c r="K346" s="456" t="s">
        <v>778</v>
      </c>
      <c r="L346" s="456" t="s">
        <v>164</v>
      </c>
    </row>
    <row r="347" spans="1:12" x14ac:dyDescent="0.2">
      <c r="A347" s="456" t="s">
        <v>884</v>
      </c>
      <c r="B347" s="456" t="s">
        <v>1680</v>
      </c>
      <c r="C347" s="456" t="s">
        <v>779</v>
      </c>
      <c r="D347" s="456" t="s">
        <v>1021</v>
      </c>
      <c r="E347" s="456" t="s">
        <v>1735</v>
      </c>
      <c r="F347" s="457" t="s">
        <v>1736</v>
      </c>
      <c r="G347" s="458">
        <v>78786.259999999995</v>
      </c>
      <c r="H347" s="458">
        <v>224221.4</v>
      </c>
      <c r="I347" s="458">
        <v>-145435.14000000001</v>
      </c>
      <c r="J347" s="456" t="s">
        <v>1737</v>
      </c>
      <c r="K347" s="456" t="s">
        <v>778</v>
      </c>
      <c r="L347" s="456" t="s">
        <v>164</v>
      </c>
    </row>
    <row r="348" spans="1:12" x14ac:dyDescent="0.2">
      <c r="A348" s="456" t="s">
        <v>884</v>
      </c>
      <c r="B348" s="456" t="s">
        <v>1680</v>
      </c>
      <c r="C348" s="456" t="s">
        <v>779</v>
      </c>
      <c r="D348" s="456" t="s">
        <v>780</v>
      </c>
      <c r="E348" s="456" t="s">
        <v>1738</v>
      </c>
      <c r="F348" s="457" t="s">
        <v>1739</v>
      </c>
      <c r="G348" s="458">
        <v>-7729566.5499999998</v>
      </c>
      <c r="H348" s="458">
        <v>-18577975.149999999</v>
      </c>
      <c r="I348" s="458">
        <v>10848408.6</v>
      </c>
      <c r="J348" s="456" t="s">
        <v>1740</v>
      </c>
      <c r="K348" s="456" t="s">
        <v>778</v>
      </c>
      <c r="L348" s="456" t="s">
        <v>164</v>
      </c>
    </row>
    <row r="349" spans="1:12" x14ac:dyDescent="0.2">
      <c r="A349" s="456" t="s">
        <v>884</v>
      </c>
      <c r="B349" s="456" t="s">
        <v>1680</v>
      </c>
      <c r="C349" s="456" t="s">
        <v>779</v>
      </c>
      <c r="D349" s="456" t="s">
        <v>780</v>
      </c>
      <c r="E349" s="456" t="s">
        <v>1741</v>
      </c>
      <c r="F349" s="457" t="s">
        <v>1742</v>
      </c>
      <c r="G349" s="458">
        <v>-71207.8</v>
      </c>
      <c r="H349" s="458">
        <v>-556638.9</v>
      </c>
      <c r="I349" s="458">
        <v>485431.1</v>
      </c>
      <c r="J349" s="456" t="s">
        <v>1743</v>
      </c>
      <c r="K349" s="456" t="s">
        <v>778</v>
      </c>
      <c r="L349" s="456" t="s">
        <v>164</v>
      </c>
    </row>
    <row r="350" spans="1:12" x14ac:dyDescent="0.2">
      <c r="A350" s="456" t="s">
        <v>884</v>
      </c>
      <c r="B350" s="456" t="s">
        <v>1680</v>
      </c>
      <c r="C350" s="456" t="s">
        <v>779</v>
      </c>
      <c r="D350" s="456" t="s">
        <v>1028</v>
      </c>
      <c r="E350" s="456" t="s">
        <v>1744</v>
      </c>
      <c r="F350" s="457" t="s">
        <v>1745</v>
      </c>
      <c r="G350" s="461">
        <v>0</v>
      </c>
      <c r="H350" s="458">
        <v>-2545075.88</v>
      </c>
      <c r="I350" s="458">
        <v>2545075.88</v>
      </c>
      <c r="J350" s="456" t="s">
        <v>810</v>
      </c>
      <c r="K350" s="456" t="s">
        <v>778</v>
      </c>
      <c r="L350" s="456" t="s">
        <v>164</v>
      </c>
    </row>
    <row r="351" spans="1:12" x14ac:dyDescent="0.2">
      <c r="A351" s="456" t="s">
        <v>884</v>
      </c>
      <c r="B351" s="456" t="s">
        <v>1680</v>
      </c>
      <c r="C351" s="456" t="s">
        <v>779</v>
      </c>
      <c r="D351" s="456" t="s">
        <v>780</v>
      </c>
      <c r="E351" s="456" t="s">
        <v>1746</v>
      </c>
      <c r="F351" s="457" t="s">
        <v>1747</v>
      </c>
      <c r="G351" s="461">
        <v>0</v>
      </c>
      <c r="H351" s="461">
        <v>0.06</v>
      </c>
      <c r="I351" s="461">
        <v>-0.06</v>
      </c>
      <c r="J351" s="456" t="s">
        <v>826</v>
      </c>
      <c r="K351" s="456" t="s">
        <v>778</v>
      </c>
      <c r="L351" s="456" t="s">
        <v>164</v>
      </c>
    </row>
    <row r="352" spans="1:12" x14ac:dyDescent="0.2">
      <c r="A352" s="456" t="s">
        <v>884</v>
      </c>
      <c r="B352" s="456" t="s">
        <v>1680</v>
      </c>
      <c r="C352" s="456" t="s">
        <v>779</v>
      </c>
      <c r="D352" s="456" t="s">
        <v>1220</v>
      </c>
      <c r="E352" s="456" t="s">
        <v>1748</v>
      </c>
      <c r="F352" s="457" t="s">
        <v>1749</v>
      </c>
      <c r="G352" s="458">
        <v>-76443.360000000001</v>
      </c>
      <c r="H352" s="458">
        <v>-686697</v>
      </c>
      <c r="I352" s="458">
        <v>610253.64</v>
      </c>
      <c r="J352" s="456" t="s">
        <v>1750</v>
      </c>
      <c r="K352" s="456" t="s">
        <v>778</v>
      </c>
      <c r="L352" s="456" t="s">
        <v>164</v>
      </c>
    </row>
    <row r="353" spans="1:12" x14ac:dyDescent="0.2">
      <c r="A353" s="456" t="s">
        <v>884</v>
      </c>
      <c r="B353" s="456" t="s">
        <v>1680</v>
      </c>
      <c r="C353" s="456" t="s">
        <v>779</v>
      </c>
      <c r="D353" s="456" t="s">
        <v>784</v>
      </c>
      <c r="E353" s="456" t="s">
        <v>1751</v>
      </c>
      <c r="F353" s="457" t="s">
        <v>1752</v>
      </c>
      <c r="G353" s="458">
        <v>-36759.01</v>
      </c>
      <c r="H353" s="458">
        <v>-117081.44</v>
      </c>
      <c r="I353" s="458">
        <v>80322.429999999993</v>
      </c>
      <c r="J353" s="456" t="s">
        <v>1753</v>
      </c>
      <c r="K353" s="456" t="s">
        <v>778</v>
      </c>
      <c r="L353" s="456" t="s">
        <v>164</v>
      </c>
    </row>
    <row r="354" spans="1:12" x14ac:dyDescent="0.2">
      <c r="A354" s="456" t="s">
        <v>884</v>
      </c>
      <c r="B354" s="456" t="s">
        <v>1680</v>
      </c>
      <c r="C354" s="456" t="s">
        <v>779</v>
      </c>
      <c r="D354" s="456" t="s">
        <v>780</v>
      </c>
      <c r="E354" s="456" t="s">
        <v>1754</v>
      </c>
      <c r="F354" s="457" t="s">
        <v>1755</v>
      </c>
      <c r="G354" s="458">
        <v>-27500</v>
      </c>
      <c r="H354" s="461">
        <v>-0.03</v>
      </c>
      <c r="I354" s="458">
        <v>-27499.97</v>
      </c>
      <c r="J354" s="456" t="s">
        <v>1756</v>
      </c>
      <c r="K354" s="456" t="s">
        <v>778</v>
      </c>
      <c r="L354" s="456" t="s">
        <v>164</v>
      </c>
    </row>
    <row r="355" spans="1:12" x14ac:dyDescent="0.2">
      <c r="A355" s="456" t="s">
        <v>884</v>
      </c>
      <c r="B355" s="456" t="s">
        <v>1680</v>
      </c>
      <c r="C355" s="456" t="s">
        <v>779</v>
      </c>
      <c r="D355" s="456" t="s">
        <v>1028</v>
      </c>
      <c r="E355" s="456" t="s">
        <v>1757</v>
      </c>
      <c r="F355" s="457" t="s">
        <v>1758</v>
      </c>
      <c r="G355" s="458">
        <v>1151.5</v>
      </c>
      <c r="H355" s="461">
        <v>517.5</v>
      </c>
      <c r="I355" s="461">
        <v>634</v>
      </c>
      <c r="J355" s="456" t="s">
        <v>1759</v>
      </c>
      <c r="K355" s="456" t="s">
        <v>778</v>
      </c>
      <c r="L355" s="456" t="s">
        <v>164</v>
      </c>
    </row>
    <row r="356" spans="1:12" x14ac:dyDescent="0.2">
      <c r="A356" s="456" t="s">
        <v>884</v>
      </c>
      <c r="B356" s="456" t="s">
        <v>1680</v>
      </c>
      <c r="C356" s="456" t="s">
        <v>779</v>
      </c>
      <c r="D356" s="456" t="s">
        <v>780</v>
      </c>
      <c r="E356" s="456" t="s">
        <v>1760</v>
      </c>
      <c r="F356" s="457" t="s">
        <v>1761</v>
      </c>
      <c r="G356" s="458">
        <v>-4698540.59</v>
      </c>
      <c r="H356" s="458">
        <v>-8810542.5600000005</v>
      </c>
      <c r="I356" s="458">
        <v>4112001.97</v>
      </c>
      <c r="J356" s="456" t="s">
        <v>1762</v>
      </c>
      <c r="K356" s="456" t="s">
        <v>778</v>
      </c>
      <c r="L356" s="456" t="s">
        <v>164</v>
      </c>
    </row>
    <row r="357" spans="1:12" x14ac:dyDescent="0.2">
      <c r="A357" s="456" t="s">
        <v>884</v>
      </c>
      <c r="B357" s="456" t="s">
        <v>1680</v>
      </c>
      <c r="C357" s="456" t="s">
        <v>779</v>
      </c>
      <c r="D357" s="456" t="s">
        <v>780</v>
      </c>
      <c r="E357" s="456" t="s">
        <v>1763</v>
      </c>
      <c r="F357" s="457" t="s">
        <v>1764</v>
      </c>
      <c r="G357" s="461">
        <v>0</v>
      </c>
      <c r="H357" s="461">
        <v>-0.03</v>
      </c>
      <c r="I357" s="461">
        <v>0.03</v>
      </c>
      <c r="J357" s="456" t="s">
        <v>810</v>
      </c>
      <c r="K357" s="456" t="s">
        <v>778</v>
      </c>
      <c r="L357" s="456" t="s">
        <v>164</v>
      </c>
    </row>
    <row r="358" spans="1:12" x14ac:dyDescent="0.2">
      <c r="A358" s="456" t="s">
        <v>884</v>
      </c>
      <c r="B358" s="456" t="s">
        <v>1680</v>
      </c>
      <c r="C358" s="456" t="s">
        <v>779</v>
      </c>
      <c r="D358" s="456" t="s">
        <v>780</v>
      </c>
      <c r="E358" s="456" t="s">
        <v>1765</v>
      </c>
      <c r="F358" s="457" t="s">
        <v>1766</v>
      </c>
      <c r="G358" s="458">
        <v>-13832.8</v>
      </c>
      <c r="H358" s="461">
        <v>0</v>
      </c>
      <c r="I358" s="458">
        <v>-13832.8</v>
      </c>
      <c r="J358" s="456" t="s">
        <v>299</v>
      </c>
      <c r="K358" s="456" t="s">
        <v>778</v>
      </c>
      <c r="L358" s="456" t="s">
        <v>164</v>
      </c>
    </row>
    <row r="359" spans="1:12" x14ac:dyDescent="0.2">
      <c r="A359" s="456" t="s">
        <v>884</v>
      </c>
      <c r="B359" s="456" t="s">
        <v>1680</v>
      </c>
      <c r="C359" s="456" t="s">
        <v>779</v>
      </c>
      <c r="D359" s="456" t="s">
        <v>784</v>
      </c>
      <c r="E359" s="456" t="s">
        <v>1767</v>
      </c>
      <c r="F359" s="457" t="s">
        <v>1768</v>
      </c>
      <c r="G359" s="458">
        <v>1238.8499999999999</v>
      </c>
      <c r="H359" s="458">
        <v>6533.36</v>
      </c>
      <c r="I359" s="458">
        <v>-5294.51</v>
      </c>
      <c r="J359" s="456" t="s">
        <v>1769</v>
      </c>
      <c r="K359" s="456" t="s">
        <v>778</v>
      </c>
      <c r="L359" s="456" t="s">
        <v>164</v>
      </c>
    </row>
    <row r="360" spans="1:12" x14ac:dyDescent="0.2">
      <c r="A360" s="456" t="s">
        <v>884</v>
      </c>
      <c r="B360" s="456" t="s">
        <v>1680</v>
      </c>
      <c r="C360" s="456" t="s">
        <v>779</v>
      </c>
      <c r="D360" s="456" t="s">
        <v>1028</v>
      </c>
      <c r="E360" s="456" t="s">
        <v>1770</v>
      </c>
      <c r="F360" s="457" t="s">
        <v>1771</v>
      </c>
      <c r="G360" s="461">
        <v>0</v>
      </c>
      <c r="H360" s="458">
        <v>6500</v>
      </c>
      <c r="I360" s="458">
        <v>-6500</v>
      </c>
      <c r="J360" s="456" t="s">
        <v>826</v>
      </c>
      <c r="K360" s="456" t="s">
        <v>778</v>
      </c>
      <c r="L360" s="456" t="s">
        <v>164</v>
      </c>
    </row>
    <row r="361" spans="1:12" x14ac:dyDescent="0.2">
      <c r="A361" s="459" t="s">
        <v>778</v>
      </c>
      <c r="B361" s="459" t="s">
        <v>1680</v>
      </c>
      <c r="C361" s="459" t="s">
        <v>299</v>
      </c>
      <c r="D361" s="459" t="s">
        <v>299</v>
      </c>
      <c r="E361" s="459" t="s">
        <v>299</v>
      </c>
      <c r="F361" s="457" t="s">
        <v>1772</v>
      </c>
      <c r="G361" s="460">
        <v>-11449003.560000001</v>
      </c>
      <c r="H361" s="460">
        <v>-27822854.260000002</v>
      </c>
      <c r="I361" s="460">
        <v>16373850.699999999</v>
      </c>
      <c r="J361" s="459" t="s">
        <v>1773</v>
      </c>
      <c r="K361" s="459" t="s">
        <v>778</v>
      </c>
      <c r="L361" s="459" t="s">
        <v>164</v>
      </c>
    </row>
    <row r="362" spans="1:12" x14ac:dyDescent="0.2">
      <c r="A362" s="459" t="s">
        <v>794</v>
      </c>
      <c r="B362" s="459" t="s">
        <v>1774</v>
      </c>
      <c r="C362" s="459" t="s">
        <v>299</v>
      </c>
      <c r="D362" s="459" t="s">
        <v>299</v>
      </c>
      <c r="E362" s="459" t="s">
        <v>299</v>
      </c>
      <c r="F362" s="457" t="s">
        <v>1775</v>
      </c>
      <c r="G362" s="460">
        <v>-11449003.560000001</v>
      </c>
      <c r="H362" s="460">
        <v>-27822854.260000002</v>
      </c>
      <c r="I362" s="460">
        <v>16373850.699999999</v>
      </c>
      <c r="J362" s="459" t="s">
        <v>1773</v>
      </c>
      <c r="K362" s="459" t="s">
        <v>778</v>
      </c>
      <c r="L362" s="459" t="s">
        <v>164</v>
      </c>
    </row>
    <row r="363" spans="1:12" x14ac:dyDescent="0.2">
      <c r="A363" s="456" t="s">
        <v>778</v>
      </c>
      <c r="B363" s="456" t="s">
        <v>1776</v>
      </c>
      <c r="C363" s="456" t="s">
        <v>779</v>
      </c>
      <c r="D363" s="456" t="s">
        <v>1028</v>
      </c>
      <c r="E363" s="456" t="s">
        <v>1777</v>
      </c>
      <c r="F363" s="457" t="s">
        <v>1778</v>
      </c>
      <c r="G363" s="458">
        <v>10791.23</v>
      </c>
      <c r="H363" s="458">
        <v>19183.43</v>
      </c>
      <c r="I363" s="458">
        <v>-8392.2000000000007</v>
      </c>
      <c r="J363" s="456" t="s">
        <v>1779</v>
      </c>
      <c r="K363" s="456" t="s">
        <v>778</v>
      </c>
      <c r="L363" s="456" t="s">
        <v>164</v>
      </c>
    </row>
    <row r="364" spans="1:12" x14ac:dyDescent="0.2">
      <c r="A364" s="456" t="s">
        <v>778</v>
      </c>
      <c r="B364" s="456" t="s">
        <v>1776</v>
      </c>
      <c r="C364" s="456" t="s">
        <v>779</v>
      </c>
      <c r="D364" s="456" t="s">
        <v>1220</v>
      </c>
      <c r="E364" s="456" t="s">
        <v>1780</v>
      </c>
      <c r="F364" s="457" t="s">
        <v>1781</v>
      </c>
      <c r="G364" s="461">
        <v>0</v>
      </c>
      <c r="H364" s="458">
        <v>6146.25</v>
      </c>
      <c r="I364" s="458">
        <v>-6146.25</v>
      </c>
      <c r="J364" s="456" t="s">
        <v>826</v>
      </c>
      <c r="K364" s="456" t="s">
        <v>778</v>
      </c>
      <c r="L364" s="456" t="s">
        <v>164</v>
      </c>
    </row>
    <row r="365" spans="1:12" x14ac:dyDescent="0.2">
      <c r="A365" s="456" t="s">
        <v>778</v>
      </c>
      <c r="B365" s="456" t="s">
        <v>1776</v>
      </c>
      <c r="C365" s="456" t="s">
        <v>779</v>
      </c>
      <c r="D365" s="456" t="s">
        <v>780</v>
      </c>
      <c r="E365" s="456" t="s">
        <v>1782</v>
      </c>
      <c r="F365" s="457" t="s">
        <v>1783</v>
      </c>
      <c r="G365" s="458">
        <v>174610.62</v>
      </c>
      <c r="H365" s="461">
        <v>0</v>
      </c>
      <c r="I365" s="458">
        <v>174610.62</v>
      </c>
      <c r="J365" s="456" t="s">
        <v>299</v>
      </c>
      <c r="K365" s="456" t="s">
        <v>778</v>
      </c>
      <c r="L365" s="456" t="s">
        <v>164</v>
      </c>
    </row>
    <row r="366" spans="1:12" x14ac:dyDescent="0.2">
      <c r="A366" s="456" t="s">
        <v>778</v>
      </c>
      <c r="B366" s="456" t="s">
        <v>1776</v>
      </c>
      <c r="C366" s="456" t="s">
        <v>779</v>
      </c>
      <c r="D366" s="456" t="s">
        <v>784</v>
      </c>
      <c r="E366" s="456" t="s">
        <v>1784</v>
      </c>
      <c r="F366" s="457" t="s">
        <v>1785</v>
      </c>
      <c r="G366" s="461">
        <v>0</v>
      </c>
      <c r="H366" s="458">
        <v>4041.66</v>
      </c>
      <c r="I366" s="458">
        <v>-4041.66</v>
      </c>
      <c r="J366" s="456" t="s">
        <v>826</v>
      </c>
      <c r="K366" s="456" t="s">
        <v>778</v>
      </c>
      <c r="L366" s="456" t="s">
        <v>164</v>
      </c>
    </row>
    <row r="367" spans="1:12" x14ac:dyDescent="0.2">
      <c r="A367" s="456" t="s">
        <v>778</v>
      </c>
      <c r="B367" s="456" t="s">
        <v>1776</v>
      </c>
      <c r="C367" s="456" t="s">
        <v>779</v>
      </c>
      <c r="D367" s="456" t="s">
        <v>1028</v>
      </c>
      <c r="E367" s="456" t="s">
        <v>1786</v>
      </c>
      <c r="F367" s="457" t="s">
        <v>1787</v>
      </c>
      <c r="G367" s="458">
        <v>-10791.23</v>
      </c>
      <c r="H367" s="458">
        <v>-19183.43</v>
      </c>
      <c r="I367" s="458">
        <v>8392.2000000000007</v>
      </c>
      <c r="J367" s="456" t="s">
        <v>1788</v>
      </c>
      <c r="K367" s="456" t="s">
        <v>778</v>
      </c>
      <c r="L367" s="456" t="s">
        <v>164</v>
      </c>
    </row>
    <row r="368" spans="1:12" x14ac:dyDescent="0.2">
      <c r="A368" s="456" t="s">
        <v>778</v>
      </c>
      <c r="B368" s="456" t="s">
        <v>1776</v>
      </c>
      <c r="C368" s="456" t="s">
        <v>779</v>
      </c>
      <c r="D368" s="456" t="s">
        <v>1643</v>
      </c>
      <c r="E368" s="456" t="s">
        <v>1789</v>
      </c>
      <c r="F368" s="457" t="s">
        <v>1790</v>
      </c>
      <c r="G368" s="458">
        <v>13960.5</v>
      </c>
      <c r="H368" s="458">
        <v>6948</v>
      </c>
      <c r="I368" s="458">
        <v>7012.5</v>
      </c>
      <c r="J368" s="456" t="s">
        <v>1791</v>
      </c>
      <c r="K368" s="456" t="s">
        <v>778</v>
      </c>
      <c r="L368" s="456" t="s">
        <v>164</v>
      </c>
    </row>
    <row r="369" spans="1:12" x14ac:dyDescent="0.2">
      <c r="A369" s="456" t="s">
        <v>778</v>
      </c>
      <c r="B369" s="456" t="s">
        <v>1776</v>
      </c>
      <c r="C369" s="456" t="s">
        <v>779</v>
      </c>
      <c r="D369" s="456" t="s">
        <v>784</v>
      </c>
      <c r="E369" s="456" t="s">
        <v>1792</v>
      </c>
      <c r="F369" s="457" t="s">
        <v>1793</v>
      </c>
      <c r="G369" s="458">
        <v>19307.13</v>
      </c>
      <c r="H369" s="461">
        <v>0</v>
      </c>
      <c r="I369" s="458">
        <v>19307.13</v>
      </c>
      <c r="J369" s="456" t="s">
        <v>299</v>
      </c>
      <c r="K369" s="456" t="s">
        <v>778</v>
      </c>
      <c r="L369" s="456" t="s">
        <v>164</v>
      </c>
    </row>
    <row r="370" spans="1:12" x14ac:dyDescent="0.2">
      <c r="A370" s="456" t="s">
        <v>778</v>
      </c>
      <c r="B370" s="456" t="s">
        <v>1776</v>
      </c>
      <c r="C370" s="456" t="s">
        <v>779</v>
      </c>
      <c r="D370" s="456" t="s">
        <v>1117</v>
      </c>
      <c r="E370" s="456" t="s">
        <v>1794</v>
      </c>
      <c r="F370" s="457" t="s">
        <v>1795</v>
      </c>
      <c r="G370" s="461">
        <v>0</v>
      </c>
      <c r="H370" s="461">
        <v>59.98</v>
      </c>
      <c r="I370" s="461">
        <v>-59.98</v>
      </c>
      <c r="J370" s="456" t="s">
        <v>826</v>
      </c>
      <c r="K370" s="456" t="s">
        <v>778</v>
      </c>
      <c r="L370" s="456" t="s">
        <v>164</v>
      </c>
    </row>
    <row r="371" spans="1:12" x14ac:dyDescent="0.2">
      <c r="A371" s="456" t="s">
        <v>778</v>
      </c>
      <c r="B371" s="456" t="s">
        <v>1776</v>
      </c>
      <c r="C371" s="456" t="s">
        <v>779</v>
      </c>
      <c r="D371" s="456" t="s">
        <v>1220</v>
      </c>
      <c r="E371" s="456" t="s">
        <v>1796</v>
      </c>
      <c r="F371" s="457" t="s">
        <v>1797</v>
      </c>
      <c r="G371" s="461">
        <v>0</v>
      </c>
      <c r="H371" s="461">
        <v>113.64</v>
      </c>
      <c r="I371" s="461">
        <v>-113.64</v>
      </c>
      <c r="J371" s="456" t="s">
        <v>826</v>
      </c>
      <c r="K371" s="456" t="s">
        <v>778</v>
      </c>
      <c r="L371" s="456" t="s">
        <v>164</v>
      </c>
    </row>
    <row r="372" spans="1:12" x14ac:dyDescent="0.2">
      <c r="A372" s="456" t="s">
        <v>778</v>
      </c>
      <c r="B372" s="456" t="s">
        <v>1776</v>
      </c>
      <c r="C372" s="456" t="s">
        <v>779</v>
      </c>
      <c r="D372" s="456" t="s">
        <v>780</v>
      </c>
      <c r="E372" s="456" t="s">
        <v>1798</v>
      </c>
      <c r="F372" s="457" t="s">
        <v>1799</v>
      </c>
      <c r="G372" s="458">
        <v>-17433107.27</v>
      </c>
      <c r="H372" s="458">
        <v>-56352312.93</v>
      </c>
      <c r="I372" s="458">
        <v>38919205.659999996</v>
      </c>
      <c r="J372" s="456" t="s">
        <v>1800</v>
      </c>
      <c r="K372" s="456" t="s">
        <v>778</v>
      </c>
      <c r="L372" s="456" t="s">
        <v>164</v>
      </c>
    </row>
    <row r="373" spans="1:12" x14ac:dyDescent="0.2">
      <c r="A373" s="456" t="s">
        <v>778</v>
      </c>
      <c r="B373" s="456" t="s">
        <v>1776</v>
      </c>
      <c r="C373" s="456" t="s">
        <v>779</v>
      </c>
      <c r="D373" s="456" t="s">
        <v>780</v>
      </c>
      <c r="E373" s="456" t="s">
        <v>1801</v>
      </c>
      <c r="F373" s="457" t="s">
        <v>1802</v>
      </c>
      <c r="G373" s="458">
        <v>5846.35</v>
      </c>
      <c r="H373" s="458">
        <v>1444.23</v>
      </c>
      <c r="I373" s="458">
        <v>4402.12</v>
      </c>
      <c r="J373" s="456" t="s">
        <v>1803</v>
      </c>
      <c r="K373" s="456" t="s">
        <v>778</v>
      </c>
      <c r="L373" s="456" t="s">
        <v>164</v>
      </c>
    </row>
    <row r="374" spans="1:12" x14ac:dyDescent="0.2">
      <c r="A374" s="456" t="s">
        <v>778</v>
      </c>
      <c r="B374" s="456" t="s">
        <v>1776</v>
      </c>
      <c r="C374" s="456" t="s">
        <v>779</v>
      </c>
      <c r="D374" s="456" t="s">
        <v>780</v>
      </c>
      <c r="E374" s="456" t="s">
        <v>1804</v>
      </c>
      <c r="F374" s="457" t="s">
        <v>1805</v>
      </c>
      <c r="G374" s="458">
        <v>-17301.53</v>
      </c>
      <c r="H374" s="458">
        <v>-45090.23</v>
      </c>
      <c r="I374" s="458">
        <v>27788.7</v>
      </c>
      <c r="J374" s="456" t="s">
        <v>1806</v>
      </c>
      <c r="K374" s="456" t="s">
        <v>778</v>
      </c>
      <c r="L374" s="456" t="s">
        <v>164</v>
      </c>
    </row>
    <row r="375" spans="1:12" x14ac:dyDescent="0.2">
      <c r="A375" s="459" t="s">
        <v>794</v>
      </c>
      <c r="B375" s="459" t="s">
        <v>1776</v>
      </c>
      <c r="C375" s="459" t="s">
        <v>299</v>
      </c>
      <c r="D375" s="459" t="s">
        <v>299</v>
      </c>
      <c r="E375" s="459" t="s">
        <v>299</v>
      </c>
      <c r="F375" s="457" t="s">
        <v>1807</v>
      </c>
      <c r="G375" s="460">
        <v>-17236684.199999999</v>
      </c>
      <c r="H375" s="460">
        <v>-56378649.399999999</v>
      </c>
      <c r="I375" s="460">
        <v>39141965.200000003</v>
      </c>
      <c r="J375" s="459" t="s">
        <v>1808</v>
      </c>
      <c r="K375" s="459" t="s">
        <v>778</v>
      </c>
      <c r="L375" s="459" t="s">
        <v>164</v>
      </c>
    </row>
    <row r="376" spans="1:12" x14ac:dyDescent="0.2">
      <c r="A376" s="456" t="s">
        <v>778</v>
      </c>
      <c r="B376" s="456" t="s">
        <v>1809</v>
      </c>
      <c r="C376" s="456" t="s">
        <v>779</v>
      </c>
      <c r="D376" s="456" t="s">
        <v>780</v>
      </c>
      <c r="E376" s="456" t="s">
        <v>1810</v>
      </c>
      <c r="F376" s="457" t="s">
        <v>1811</v>
      </c>
      <c r="G376" s="458">
        <v>682122.48</v>
      </c>
      <c r="H376" s="458">
        <v>1011345.65</v>
      </c>
      <c r="I376" s="458">
        <v>-329223.17</v>
      </c>
      <c r="J376" s="456" t="s">
        <v>1812</v>
      </c>
      <c r="K376" s="456" t="s">
        <v>778</v>
      </c>
      <c r="L376" s="456" t="s">
        <v>164</v>
      </c>
    </row>
    <row r="377" spans="1:12" x14ac:dyDescent="0.2">
      <c r="A377" s="456" t="s">
        <v>778</v>
      </c>
      <c r="B377" s="456" t="s">
        <v>1809</v>
      </c>
      <c r="C377" s="456" t="s">
        <v>779</v>
      </c>
      <c r="D377" s="456" t="s">
        <v>780</v>
      </c>
      <c r="E377" s="456" t="s">
        <v>1813</v>
      </c>
      <c r="F377" s="457" t="s">
        <v>1814</v>
      </c>
      <c r="G377" s="458">
        <v>10876.6</v>
      </c>
      <c r="H377" s="458">
        <v>2493.54</v>
      </c>
      <c r="I377" s="458">
        <v>8383.06</v>
      </c>
      <c r="J377" s="456" t="s">
        <v>1815</v>
      </c>
      <c r="K377" s="456" t="s">
        <v>778</v>
      </c>
      <c r="L377" s="456" t="s">
        <v>164</v>
      </c>
    </row>
    <row r="378" spans="1:12" x14ac:dyDescent="0.2">
      <c r="A378" s="456" t="s">
        <v>778</v>
      </c>
      <c r="B378" s="456" t="s">
        <v>1809</v>
      </c>
      <c r="C378" s="456" t="s">
        <v>779</v>
      </c>
      <c r="D378" s="456" t="s">
        <v>1028</v>
      </c>
      <c r="E378" s="456" t="s">
        <v>1816</v>
      </c>
      <c r="F378" s="457" t="s">
        <v>1817</v>
      </c>
      <c r="G378" s="461">
        <v>0</v>
      </c>
      <c r="H378" s="461">
        <v>-0.28000000000000003</v>
      </c>
      <c r="I378" s="461">
        <v>0.28000000000000003</v>
      </c>
      <c r="J378" s="456" t="s">
        <v>810</v>
      </c>
      <c r="K378" s="456" t="s">
        <v>778</v>
      </c>
      <c r="L378" s="456" t="s">
        <v>164</v>
      </c>
    </row>
    <row r="379" spans="1:12" x14ac:dyDescent="0.2">
      <c r="A379" s="456" t="s">
        <v>778</v>
      </c>
      <c r="B379" s="456" t="s">
        <v>1809</v>
      </c>
      <c r="C379" s="456" t="s">
        <v>779</v>
      </c>
      <c r="D379" s="456" t="s">
        <v>1028</v>
      </c>
      <c r="E379" s="456" t="s">
        <v>1818</v>
      </c>
      <c r="F379" s="457" t="s">
        <v>1819</v>
      </c>
      <c r="G379" s="461">
        <v>94.5</v>
      </c>
      <c r="H379" s="458">
        <v>258084.73</v>
      </c>
      <c r="I379" s="458">
        <v>-257990.23</v>
      </c>
      <c r="J379" s="456" t="s">
        <v>826</v>
      </c>
      <c r="K379" s="456" t="s">
        <v>778</v>
      </c>
      <c r="L379" s="456" t="s">
        <v>164</v>
      </c>
    </row>
    <row r="380" spans="1:12" x14ac:dyDescent="0.2">
      <c r="A380" s="456" t="s">
        <v>778</v>
      </c>
      <c r="B380" s="456" t="s">
        <v>1809</v>
      </c>
      <c r="C380" s="456" t="s">
        <v>779</v>
      </c>
      <c r="D380" s="456" t="s">
        <v>780</v>
      </c>
      <c r="E380" s="456" t="s">
        <v>1820</v>
      </c>
      <c r="F380" s="457" t="s">
        <v>1821</v>
      </c>
      <c r="G380" s="458">
        <v>59469.81</v>
      </c>
      <c r="H380" s="458">
        <v>154842.84</v>
      </c>
      <c r="I380" s="458">
        <v>-95373.03</v>
      </c>
      <c r="J380" s="456" t="s">
        <v>883</v>
      </c>
      <c r="K380" s="456" t="s">
        <v>778</v>
      </c>
      <c r="L380" s="456" t="s">
        <v>164</v>
      </c>
    </row>
    <row r="381" spans="1:12" x14ac:dyDescent="0.2">
      <c r="A381" s="456" t="s">
        <v>778</v>
      </c>
      <c r="B381" s="456" t="s">
        <v>1809</v>
      </c>
      <c r="C381" s="456" t="s">
        <v>779</v>
      </c>
      <c r="D381" s="456" t="s">
        <v>780</v>
      </c>
      <c r="E381" s="456" t="s">
        <v>1822</v>
      </c>
      <c r="F381" s="457" t="s">
        <v>1823</v>
      </c>
      <c r="G381" s="458">
        <v>130540.79</v>
      </c>
      <c r="H381" s="458">
        <v>178456.9</v>
      </c>
      <c r="I381" s="458">
        <v>-47916.11</v>
      </c>
      <c r="J381" s="456" t="s">
        <v>1824</v>
      </c>
      <c r="K381" s="456" t="s">
        <v>778</v>
      </c>
      <c r="L381" s="456" t="s">
        <v>164</v>
      </c>
    </row>
    <row r="382" spans="1:12" x14ac:dyDescent="0.2">
      <c r="A382" s="456" t="s">
        <v>778</v>
      </c>
      <c r="B382" s="456" t="s">
        <v>1809</v>
      </c>
      <c r="C382" s="456" t="s">
        <v>779</v>
      </c>
      <c r="D382" s="456" t="s">
        <v>780</v>
      </c>
      <c r="E382" s="456" t="s">
        <v>1825</v>
      </c>
      <c r="F382" s="457" t="s">
        <v>1826</v>
      </c>
      <c r="G382" s="458">
        <v>2043280.7</v>
      </c>
      <c r="H382" s="458">
        <v>5022508.5599999996</v>
      </c>
      <c r="I382" s="458">
        <v>-2979227.86</v>
      </c>
      <c r="J382" s="456" t="s">
        <v>1827</v>
      </c>
      <c r="K382" s="456" t="s">
        <v>778</v>
      </c>
      <c r="L382" s="456" t="s">
        <v>164</v>
      </c>
    </row>
    <row r="383" spans="1:12" x14ac:dyDescent="0.2">
      <c r="A383" s="456" t="s">
        <v>778</v>
      </c>
      <c r="B383" s="456" t="s">
        <v>1809</v>
      </c>
      <c r="C383" s="456" t="s">
        <v>779</v>
      </c>
      <c r="D383" s="456" t="s">
        <v>780</v>
      </c>
      <c r="E383" s="456" t="s">
        <v>1828</v>
      </c>
      <c r="F383" s="457" t="s">
        <v>1829</v>
      </c>
      <c r="G383" s="461">
        <v>585.87</v>
      </c>
      <c r="H383" s="461">
        <v>264.17</v>
      </c>
      <c r="I383" s="461">
        <v>321.7</v>
      </c>
      <c r="J383" s="456" t="s">
        <v>1830</v>
      </c>
      <c r="K383" s="456" t="s">
        <v>778</v>
      </c>
      <c r="L383" s="456" t="s">
        <v>164</v>
      </c>
    </row>
    <row r="384" spans="1:12" x14ac:dyDescent="0.2">
      <c r="A384" s="456" t="s">
        <v>778</v>
      </c>
      <c r="B384" s="456" t="s">
        <v>1809</v>
      </c>
      <c r="C384" s="456" t="s">
        <v>779</v>
      </c>
      <c r="D384" s="456" t="s">
        <v>780</v>
      </c>
      <c r="E384" s="456" t="s">
        <v>1831</v>
      </c>
      <c r="F384" s="457" t="s">
        <v>1832</v>
      </c>
      <c r="G384" s="458">
        <v>42290.13</v>
      </c>
      <c r="H384" s="458">
        <v>134996.66</v>
      </c>
      <c r="I384" s="458">
        <v>-92706.53</v>
      </c>
      <c r="J384" s="456" t="s">
        <v>1833</v>
      </c>
      <c r="K384" s="456" t="s">
        <v>778</v>
      </c>
      <c r="L384" s="456" t="s">
        <v>164</v>
      </c>
    </row>
    <row r="385" spans="1:12" x14ac:dyDescent="0.2">
      <c r="A385" s="456" t="s">
        <v>778</v>
      </c>
      <c r="B385" s="456" t="s">
        <v>1809</v>
      </c>
      <c r="C385" s="456" t="s">
        <v>779</v>
      </c>
      <c r="D385" s="456" t="s">
        <v>784</v>
      </c>
      <c r="E385" s="456" t="s">
        <v>1834</v>
      </c>
      <c r="F385" s="457" t="s">
        <v>1835</v>
      </c>
      <c r="G385" s="458">
        <v>1532.08</v>
      </c>
      <c r="H385" s="458">
        <v>11095.62</v>
      </c>
      <c r="I385" s="458">
        <v>-9563.5400000000009</v>
      </c>
      <c r="J385" s="456" t="s">
        <v>1836</v>
      </c>
      <c r="K385" s="456" t="s">
        <v>778</v>
      </c>
      <c r="L385" s="456" t="s">
        <v>164</v>
      </c>
    </row>
    <row r="386" spans="1:12" x14ac:dyDescent="0.2">
      <c r="A386" s="456" t="s">
        <v>778</v>
      </c>
      <c r="B386" s="456" t="s">
        <v>1809</v>
      </c>
      <c r="C386" s="456" t="s">
        <v>779</v>
      </c>
      <c r="D386" s="456" t="s">
        <v>780</v>
      </c>
      <c r="E386" s="456" t="s">
        <v>1837</v>
      </c>
      <c r="F386" s="457" t="s">
        <v>1838</v>
      </c>
      <c r="G386" s="458">
        <v>562804.86</v>
      </c>
      <c r="H386" s="458">
        <v>1358170.34</v>
      </c>
      <c r="I386" s="458">
        <v>-795365.48</v>
      </c>
      <c r="J386" s="456" t="s">
        <v>1839</v>
      </c>
      <c r="K386" s="456" t="s">
        <v>778</v>
      </c>
      <c r="L386" s="456" t="s">
        <v>164</v>
      </c>
    </row>
    <row r="387" spans="1:12" x14ac:dyDescent="0.2">
      <c r="A387" s="456" t="s">
        <v>778</v>
      </c>
      <c r="B387" s="456" t="s">
        <v>1809</v>
      </c>
      <c r="C387" s="456" t="s">
        <v>779</v>
      </c>
      <c r="D387" s="456" t="s">
        <v>780</v>
      </c>
      <c r="E387" s="456" t="s">
        <v>1840</v>
      </c>
      <c r="F387" s="457" t="s">
        <v>1841</v>
      </c>
      <c r="G387" s="458">
        <v>27283.32</v>
      </c>
      <c r="H387" s="458">
        <v>3655.81</v>
      </c>
      <c r="I387" s="458">
        <v>23627.51</v>
      </c>
      <c r="J387" s="456" t="s">
        <v>1842</v>
      </c>
      <c r="K387" s="456" t="s">
        <v>778</v>
      </c>
      <c r="L387" s="456" t="s">
        <v>164</v>
      </c>
    </row>
    <row r="388" spans="1:12" x14ac:dyDescent="0.2">
      <c r="A388" s="456" t="s">
        <v>778</v>
      </c>
      <c r="B388" s="456" t="s">
        <v>1809</v>
      </c>
      <c r="C388" s="456" t="s">
        <v>779</v>
      </c>
      <c r="D388" s="456" t="s">
        <v>780</v>
      </c>
      <c r="E388" s="456" t="s">
        <v>1843</v>
      </c>
      <c r="F388" s="457" t="s">
        <v>1844</v>
      </c>
      <c r="G388" s="458">
        <v>335139.28999999998</v>
      </c>
      <c r="H388" s="458">
        <v>342549.56</v>
      </c>
      <c r="I388" s="458">
        <v>-7410.27</v>
      </c>
      <c r="J388" s="456" t="s">
        <v>1845</v>
      </c>
      <c r="K388" s="456" t="s">
        <v>778</v>
      </c>
      <c r="L388" s="456" t="s">
        <v>164</v>
      </c>
    </row>
    <row r="389" spans="1:12" x14ac:dyDescent="0.2">
      <c r="A389" s="456" t="s">
        <v>778</v>
      </c>
      <c r="B389" s="456" t="s">
        <v>1809</v>
      </c>
      <c r="C389" s="456" t="s">
        <v>779</v>
      </c>
      <c r="D389" s="456" t="s">
        <v>780</v>
      </c>
      <c r="E389" s="456" t="s">
        <v>1846</v>
      </c>
      <c r="F389" s="457" t="s">
        <v>1847</v>
      </c>
      <c r="G389" s="458">
        <v>645129.02</v>
      </c>
      <c r="H389" s="458">
        <v>1130982.3999999999</v>
      </c>
      <c r="I389" s="458">
        <v>-485853.38</v>
      </c>
      <c r="J389" s="456" t="s">
        <v>1848</v>
      </c>
      <c r="K389" s="456" t="s">
        <v>778</v>
      </c>
      <c r="L389" s="456" t="s">
        <v>164</v>
      </c>
    </row>
    <row r="390" spans="1:12" x14ac:dyDescent="0.2">
      <c r="A390" s="456" t="s">
        <v>778</v>
      </c>
      <c r="B390" s="456" t="s">
        <v>1809</v>
      </c>
      <c r="C390" s="456" t="s">
        <v>779</v>
      </c>
      <c r="D390" s="456" t="s">
        <v>780</v>
      </c>
      <c r="E390" s="456" t="s">
        <v>1849</v>
      </c>
      <c r="F390" s="457" t="s">
        <v>1850</v>
      </c>
      <c r="G390" s="458">
        <v>3618.03</v>
      </c>
      <c r="H390" s="458">
        <v>15109.81</v>
      </c>
      <c r="I390" s="458">
        <v>-11491.78</v>
      </c>
      <c r="J390" s="456" t="s">
        <v>1851</v>
      </c>
      <c r="K390" s="456" t="s">
        <v>778</v>
      </c>
      <c r="L390" s="456" t="s">
        <v>164</v>
      </c>
    </row>
    <row r="391" spans="1:12" x14ac:dyDescent="0.2">
      <c r="A391" s="456" t="s">
        <v>778</v>
      </c>
      <c r="B391" s="456" t="s">
        <v>1809</v>
      </c>
      <c r="C391" s="456" t="s">
        <v>779</v>
      </c>
      <c r="D391" s="456" t="s">
        <v>780</v>
      </c>
      <c r="E391" s="456" t="s">
        <v>1852</v>
      </c>
      <c r="F391" s="457" t="s">
        <v>1853</v>
      </c>
      <c r="G391" s="458">
        <v>7374.69</v>
      </c>
      <c r="H391" s="458">
        <v>21355.41</v>
      </c>
      <c r="I391" s="458">
        <v>-13980.72</v>
      </c>
      <c r="J391" s="456" t="s">
        <v>1854</v>
      </c>
      <c r="K391" s="456" t="s">
        <v>778</v>
      </c>
      <c r="L391" s="456" t="s">
        <v>164</v>
      </c>
    </row>
    <row r="392" spans="1:12" x14ac:dyDescent="0.2">
      <c r="A392" s="456" t="s">
        <v>778</v>
      </c>
      <c r="B392" s="456" t="s">
        <v>1809</v>
      </c>
      <c r="C392" s="456" t="s">
        <v>779</v>
      </c>
      <c r="D392" s="456" t="s">
        <v>784</v>
      </c>
      <c r="E392" s="456" t="s">
        <v>1855</v>
      </c>
      <c r="F392" s="457" t="s">
        <v>1856</v>
      </c>
      <c r="G392" s="461">
        <v>0</v>
      </c>
      <c r="H392" s="461">
        <v>5</v>
      </c>
      <c r="I392" s="461">
        <v>-5</v>
      </c>
      <c r="J392" s="456" t="s">
        <v>826</v>
      </c>
      <c r="K392" s="456" t="s">
        <v>778</v>
      </c>
      <c r="L392" s="456" t="s">
        <v>164</v>
      </c>
    </row>
    <row r="393" spans="1:12" x14ac:dyDescent="0.2">
      <c r="A393" s="456" t="s">
        <v>778</v>
      </c>
      <c r="B393" s="456" t="s">
        <v>1809</v>
      </c>
      <c r="C393" s="456" t="s">
        <v>779</v>
      </c>
      <c r="D393" s="456" t="s">
        <v>780</v>
      </c>
      <c r="E393" s="456" t="s">
        <v>1857</v>
      </c>
      <c r="F393" s="457" t="s">
        <v>1858</v>
      </c>
      <c r="G393" s="458">
        <v>192065.8</v>
      </c>
      <c r="H393" s="458">
        <v>435913.3</v>
      </c>
      <c r="I393" s="458">
        <v>-243847.5</v>
      </c>
      <c r="J393" s="456" t="s">
        <v>1859</v>
      </c>
      <c r="K393" s="456" t="s">
        <v>778</v>
      </c>
      <c r="L393" s="456" t="s">
        <v>164</v>
      </c>
    </row>
    <row r="394" spans="1:12" x14ac:dyDescent="0.2">
      <c r="A394" s="456" t="s">
        <v>778</v>
      </c>
      <c r="B394" s="456" t="s">
        <v>1809</v>
      </c>
      <c r="C394" s="456" t="s">
        <v>779</v>
      </c>
      <c r="D394" s="456" t="s">
        <v>780</v>
      </c>
      <c r="E394" s="456" t="s">
        <v>1860</v>
      </c>
      <c r="F394" s="457" t="s">
        <v>1861</v>
      </c>
      <c r="G394" s="458">
        <v>102572.41</v>
      </c>
      <c r="H394" s="458">
        <v>242275.06</v>
      </c>
      <c r="I394" s="458">
        <v>-139702.65</v>
      </c>
      <c r="J394" s="456" t="s">
        <v>1862</v>
      </c>
      <c r="K394" s="456" t="s">
        <v>778</v>
      </c>
      <c r="L394" s="456" t="s">
        <v>164</v>
      </c>
    </row>
    <row r="395" spans="1:12" x14ac:dyDescent="0.2">
      <c r="A395" s="456" t="s">
        <v>778</v>
      </c>
      <c r="B395" s="456" t="s">
        <v>1809</v>
      </c>
      <c r="C395" s="456" t="s">
        <v>779</v>
      </c>
      <c r="D395" s="456" t="s">
        <v>780</v>
      </c>
      <c r="E395" s="456" t="s">
        <v>1863</v>
      </c>
      <c r="F395" s="457" t="s">
        <v>1864</v>
      </c>
      <c r="G395" s="458">
        <v>65821.84</v>
      </c>
      <c r="H395" s="458">
        <v>140646.51</v>
      </c>
      <c r="I395" s="458">
        <v>-74824.67</v>
      </c>
      <c r="J395" s="456" t="s">
        <v>1865</v>
      </c>
      <c r="K395" s="456" t="s">
        <v>778</v>
      </c>
      <c r="L395" s="456" t="s">
        <v>164</v>
      </c>
    </row>
    <row r="396" spans="1:12" x14ac:dyDescent="0.2">
      <c r="A396" s="456" t="s">
        <v>778</v>
      </c>
      <c r="B396" s="456" t="s">
        <v>1809</v>
      </c>
      <c r="C396" s="456" t="s">
        <v>779</v>
      </c>
      <c r="D396" s="456" t="s">
        <v>780</v>
      </c>
      <c r="E396" s="456" t="s">
        <v>1866</v>
      </c>
      <c r="F396" s="457" t="s">
        <v>1867</v>
      </c>
      <c r="G396" s="458">
        <v>13700.63</v>
      </c>
      <c r="H396" s="458">
        <v>6572.11</v>
      </c>
      <c r="I396" s="458">
        <v>7128.52</v>
      </c>
      <c r="J396" s="456" t="s">
        <v>1868</v>
      </c>
      <c r="K396" s="456" t="s">
        <v>778</v>
      </c>
      <c r="L396" s="456" t="s">
        <v>164</v>
      </c>
    </row>
    <row r="397" spans="1:12" x14ac:dyDescent="0.2">
      <c r="A397" s="456" t="s">
        <v>778</v>
      </c>
      <c r="B397" s="456" t="s">
        <v>1809</v>
      </c>
      <c r="C397" s="456" t="s">
        <v>779</v>
      </c>
      <c r="D397" s="456" t="s">
        <v>780</v>
      </c>
      <c r="E397" s="456" t="s">
        <v>1869</v>
      </c>
      <c r="F397" s="457" t="s">
        <v>1870</v>
      </c>
      <c r="G397" s="458">
        <v>439009.09</v>
      </c>
      <c r="H397" s="458">
        <v>1345110.07</v>
      </c>
      <c r="I397" s="458">
        <v>-906100.98</v>
      </c>
      <c r="J397" s="456" t="s">
        <v>1335</v>
      </c>
      <c r="K397" s="456" t="s">
        <v>778</v>
      </c>
      <c r="L397" s="456" t="s">
        <v>164</v>
      </c>
    </row>
    <row r="398" spans="1:12" x14ac:dyDescent="0.2">
      <c r="A398" s="459" t="s">
        <v>794</v>
      </c>
      <c r="B398" s="459" t="s">
        <v>1809</v>
      </c>
      <c r="C398" s="459" t="s">
        <v>299</v>
      </c>
      <c r="D398" s="459" t="s">
        <v>299</v>
      </c>
      <c r="E398" s="459" t="s">
        <v>299</v>
      </c>
      <c r="F398" s="457" t="s">
        <v>1871</v>
      </c>
      <c r="G398" s="460">
        <v>5365311.9400000004</v>
      </c>
      <c r="H398" s="460">
        <v>11816433.77</v>
      </c>
      <c r="I398" s="460">
        <v>-6451121.8300000001</v>
      </c>
      <c r="J398" s="459" t="s">
        <v>1590</v>
      </c>
      <c r="K398" s="459" t="s">
        <v>778</v>
      </c>
      <c r="L398" s="459" t="s">
        <v>164</v>
      </c>
    </row>
    <row r="399" spans="1:12" x14ac:dyDescent="0.2">
      <c r="A399" s="456" t="s">
        <v>778</v>
      </c>
      <c r="B399" s="456" t="s">
        <v>1872</v>
      </c>
      <c r="C399" s="456" t="s">
        <v>779</v>
      </c>
      <c r="D399" s="456" t="s">
        <v>780</v>
      </c>
      <c r="E399" s="456" t="s">
        <v>1873</v>
      </c>
      <c r="F399" s="457" t="s">
        <v>1874</v>
      </c>
      <c r="G399" s="461">
        <v>0</v>
      </c>
      <c r="H399" s="458">
        <v>1230</v>
      </c>
      <c r="I399" s="458">
        <v>-1230</v>
      </c>
      <c r="J399" s="456" t="s">
        <v>826</v>
      </c>
      <c r="K399" s="456" t="s">
        <v>778</v>
      </c>
      <c r="L399" s="456" t="s">
        <v>164</v>
      </c>
    </row>
    <row r="400" spans="1:12" x14ac:dyDescent="0.2">
      <c r="A400" s="456" t="s">
        <v>778</v>
      </c>
      <c r="B400" s="456" t="s">
        <v>1872</v>
      </c>
      <c r="C400" s="456" t="s">
        <v>779</v>
      </c>
      <c r="D400" s="456" t="s">
        <v>784</v>
      </c>
      <c r="E400" s="456" t="s">
        <v>1875</v>
      </c>
      <c r="F400" s="457" t="s">
        <v>1876</v>
      </c>
      <c r="G400" s="458">
        <v>132323.01999999999</v>
      </c>
      <c r="H400" s="458">
        <v>668564.01</v>
      </c>
      <c r="I400" s="458">
        <v>-536240.99</v>
      </c>
      <c r="J400" s="456" t="s">
        <v>1877</v>
      </c>
      <c r="K400" s="456" t="s">
        <v>778</v>
      </c>
      <c r="L400" s="456" t="s">
        <v>164</v>
      </c>
    </row>
    <row r="401" spans="1:12" x14ac:dyDescent="0.2">
      <c r="A401" s="459" t="s">
        <v>794</v>
      </c>
      <c r="B401" s="459" t="s">
        <v>1872</v>
      </c>
      <c r="C401" s="459" t="s">
        <v>299</v>
      </c>
      <c r="D401" s="459" t="s">
        <v>299</v>
      </c>
      <c r="E401" s="459" t="s">
        <v>299</v>
      </c>
      <c r="F401" s="457" t="s">
        <v>299</v>
      </c>
      <c r="G401" s="460">
        <v>132323.01999999999</v>
      </c>
      <c r="H401" s="460">
        <v>669794.01</v>
      </c>
      <c r="I401" s="460">
        <v>-537470.99</v>
      </c>
      <c r="J401" s="459" t="s">
        <v>1877</v>
      </c>
      <c r="K401" s="459" t="s">
        <v>778</v>
      </c>
      <c r="L401" s="459" t="s">
        <v>164</v>
      </c>
    </row>
    <row r="402" spans="1:12" x14ac:dyDescent="0.2">
      <c r="A402" s="456" t="s">
        <v>778</v>
      </c>
      <c r="B402" s="456" t="s">
        <v>1878</v>
      </c>
      <c r="C402" s="456" t="s">
        <v>779</v>
      </c>
      <c r="D402" s="456" t="s">
        <v>780</v>
      </c>
      <c r="E402" s="456" t="s">
        <v>1879</v>
      </c>
      <c r="F402" s="457" t="s">
        <v>1880</v>
      </c>
      <c r="G402" s="458">
        <v>1362092.85</v>
      </c>
      <c r="H402" s="458">
        <v>3320049.47</v>
      </c>
      <c r="I402" s="458">
        <v>-1957956.62</v>
      </c>
      <c r="J402" s="456" t="s">
        <v>1881</v>
      </c>
      <c r="K402" s="456" t="s">
        <v>778</v>
      </c>
      <c r="L402" s="456" t="s">
        <v>164</v>
      </c>
    </row>
    <row r="403" spans="1:12" x14ac:dyDescent="0.2">
      <c r="A403" s="456" t="s">
        <v>778</v>
      </c>
      <c r="B403" s="456" t="s">
        <v>1878</v>
      </c>
      <c r="C403" s="456" t="s">
        <v>779</v>
      </c>
      <c r="D403" s="456" t="s">
        <v>780</v>
      </c>
      <c r="E403" s="456" t="s">
        <v>1882</v>
      </c>
      <c r="F403" s="457" t="s">
        <v>1883</v>
      </c>
      <c r="G403" s="458">
        <v>2324929.1</v>
      </c>
      <c r="H403" s="458">
        <v>6420242.3099999996</v>
      </c>
      <c r="I403" s="458">
        <v>-4095313.21</v>
      </c>
      <c r="J403" s="456" t="s">
        <v>1884</v>
      </c>
      <c r="K403" s="456" t="s">
        <v>778</v>
      </c>
      <c r="L403" s="456" t="s">
        <v>164</v>
      </c>
    </row>
    <row r="404" spans="1:12" x14ac:dyDescent="0.2">
      <c r="A404" s="456" t="s">
        <v>778</v>
      </c>
      <c r="B404" s="456" t="s">
        <v>1878</v>
      </c>
      <c r="C404" s="456" t="s">
        <v>779</v>
      </c>
      <c r="D404" s="456" t="s">
        <v>780</v>
      </c>
      <c r="E404" s="456" t="s">
        <v>1885</v>
      </c>
      <c r="F404" s="457" t="s">
        <v>1886</v>
      </c>
      <c r="G404" s="458">
        <v>169137.06</v>
      </c>
      <c r="H404" s="458">
        <v>307068.52</v>
      </c>
      <c r="I404" s="458">
        <v>-137931.46</v>
      </c>
      <c r="J404" s="456" t="s">
        <v>1887</v>
      </c>
      <c r="K404" s="456" t="s">
        <v>778</v>
      </c>
      <c r="L404" s="456" t="s">
        <v>164</v>
      </c>
    </row>
    <row r="405" spans="1:12" x14ac:dyDescent="0.2">
      <c r="A405" s="456" t="s">
        <v>778</v>
      </c>
      <c r="B405" s="456" t="s">
        <v>1878</v>
      </c>
      <c r="C405" s="456" t="s">
        <v>779</v>
      </c>
      <c r="D405" s="456" t="s">
        <v>780</v>
      </c>
      <c r="E405" s="456" t="s">
        <v>1888</v>
      </c>
      <c r="F405" s="457" t="s">
        <v>1889</v>
      </c>
      <c r="G405" s="461">
        <v>-340.84</v>
      </c>
      <c r="H405" s="458">
        <v>9280.67</v>
      </c>
      <c r="I405" s="458">
        <v>-9621.51</v>
      </c>
      <c r="J405" s="456" t="s">
        <v>1890</v>
      </c>
      <c r="K405" s="456" t="s">
        <v>778</v>
      </c>
      <c r="L405" s="456" t="s">
        <v>164</v>
      </c>
    </row>
    <row r="406" spans="1:12" x14ac:dyDescent="0.2">
      <c r="A406" s="456" t="s">
        <v>778</v>
      </c>
      <c r="B406" s="456" t="s">
        <v>1878</v>
      </c>
      <c r="C406" s="456" t="s">
        <v>779</v>
      </c>
      <c r="D406" s="456" t="s">
        <v>780</v>
      </c>
      <c r="E406" s="456" t="s">
        <v>1891</v>
      </c>
      <c r="F406" s="457" t="s">
        <v>1892</v>
      </c>
      <c r="G406" s="458">
        <v>1396145.18</v>
      </c>
      <c r="H406" s="458">
        <v>1993832.96</v>
      </c>
      <c r="I406" s="458">
        <v>-597687.78</v>
      </c>
      <c r="J406" s="456" t="s">
        <v>1893</v>
      </c>
      <c r="K406" s="456" t="s">
        <v>778</v>
      </c>
      <c r="L406" s="456" t="s">
        <v>164</v>
      </c>
    </row>
    <row r="407" spans="1:12" x14ac:dyDescent="0.2">
      <c r="A407" s="459" t="s">
        <v>794</v>
      </c>
      <c r="B407" s="459" t="s">
        <v>1878</v>
      </c>
      <c r="C407" s="459" t="s">
        <v>299</v>
      </c>
      <c r="D407" s="459" t="s">
        <v>299</v>
      </c>
      <c r="E407" s="459" t="s">
        <v>299</v>
      </c>
      <c r="F407" s="457" t="s">
        <v>1894</v>
      </c>
      <c r="G407" s="460">
        <v>5251963.3499999996</v>
      </c>
      <c r="H407" s="460">
        <v>12050473.93</v>
      </c>
      <c r="I407" s="460">
        <v>-6798510.5800000001</v>
      </c>
      <c r="J407" s="459" t="s">
        <v>1895</v>
      </c>
      <c r="K407" s="459" t="s">
        <v>778</v>
      </c>
      <c r="L407" s="459" t="s">
        <v>164</v>
      </c>
    </row>
    <row r="408" spans="1:12" x14ac:dyDescent="0.2">
      <c r="A408" s="456" t="s">
        <v>778</v>
      </c>
      <c r="B408" s="456" t="s">
        <v>1896</v>
      </c>
      <c r="C408" s="456" t="s">
        <v>779</v>
      </c>
      <c r="D408" s="456" t="s">
        <v>780</v>
      </c>
      <c r="E408" s="456" t="s">
        <v>1897</v>
      </c>
      <c r="F408" s="457" t="s">
        <v>1898</v>
      </c>
      <c r="G408" s="458">
        <v>-9178070.0399999991</v>
      </c>
      <c r="H408" s="461">
        <v>0</v>
      </c>
      <c r="I408" s="458">
        <v>-9178070.0399999991</v>
      </c>
      <c r="J408" s="456" t="s">
        <v>299</v>
      </c>
      <c r="K408" s="456" t="s">
        <v>778</v>
      </c>
      <c r="L408" s="456" t="s">
        <v>164</v>
      </c>
    </row>
    <row r="409" spans="1:12" x14ac:dyDescent="0.2">
      <c r="A409" s="456" t="s">
        <v>778</v>
      </c>
      <c r="B409" s="456" t="s">
        <v>1896</v>
      </c>
      <c r="C409" s="456" t="s">
        <v>779</v>
      </c>
      <c r="D409" s="456" t="s">
        <v>780</v>
      </c>
      <c r="E409" s="456" t="s">
        <v>1899</v>
      </c>
      <c r="F409" s="457" t="s">
        <v>1900</v>
      </c>
      <c r="G409" s="458">
        <v>43093.599999999999</v>
      </c>
      <c r="H409" s="458">
        <v>12412.5</v>
      </c>
      <c r="I409" s="458">
        <v>30681.1</v>
      </c>
      <c r="J409" s="456" t="s">
        <v>1901</v>
      </c>
      <c r="K409" s="456" t="s">
        <v>778</v>
      </c>
      <c r="L409" s="456" t="s">
        <v>164</v>
      </c>
    </row>
    <row r="410" spans="1:12" x14ac:dyDescent="0.2">
      <c r="A410" s="456" t="s">
        <v>778</v>
      </c>
      <c r="B410" s="456" t="s">
        <v>1896</v>
      </c>
      <c r="C410" s="456" t="s">
        <v>779</v>
      </c>
      <c r="D410" s="456" t="s">
        <v>1220</v>
      </c>
      <c r="E410" s="456" t="s">
        <v>1902</v>
      </c>
      <c r="F410" s="457" t="s">
        <v>1903</v>
      </c>
      <c r="G410" s="461">
        <v>0</v>
      </c>
      <c r="H410" s="458">
        <v>15380.11</v>
      </c>
      <c r="I410" s="458">
        <v>-15380.11</v>
      </c>
      <c r="J410" s="456" t="s">
        <v>826</v>
      </c>
      <c r="K410" s="456" t="s">
        <v>778</v>
      </c>
      <c r="L410" s="456" t="s">
        <v>164</v>
      </c>
    </row>
    <row r="411" spans="1:12" x14ac:dyDescent="0.2">
      <c r="A411" s="456" t="s">
        <v>778</v>
      </c>
      <c r="B411" s="456" t="s">
        <v>1896</v>
      </c>
      <c r="C411" s="456" t="s">
        <v>779</v>
      </c>
      <c r="D411" s="456" t="s">
        <v>1220</v>
      </c>
      <c r="E411" s="456" t="s">
        <v>1904</v>
      </c>
      <c r="F411" s="457" t="s">
        <v>1905</v>
      </c>
      <c r="G411" s="458">
        <v>6758</v>
      </c>
      <c r="H411" s="461">
        <v>88.79</v>
      </c>
      <c r="I411" s="458">
        <v>6669.21</v>
      </c>
      <c r="J411" s="456" t="s">
        <v>1906</v>
      </c>
      <c r="K411" s="456" t="s">
        <v>778</v>
      </c>
      <c r="L411" s="456" t="s">
        <v>164</v>
      </c>
    </row>
    <row r="412" spans="1:12" x14ac:dyDescent="0.2">
      <c r="A412" s="459" t="s">
        <v>794</v>
      </c>
      <c r="B412" s="459" t="s">
        <v>1896</v>
      </c>
      <c r="C412" s="459" t="s">
        <v>299</v>
      </c>
      <c r="D412" s="459" t="s">
        <v>299</v>
      </c>
      <c r="E412" s="459" t="s">
        <v>299</v>
      </c>
      <c r="F412" s="457" t="s">
        <v>1907</v>
      </c>
      <c r="G412" s="460">
        <v>-9128218.4399999995</v>
      </c>
      <c r="H412" s="460">
        <v>27881.4</v>
      </c>
      <c r="I412" s="460">
        <v>-9156099.8399999999</v>
      </c>
      <c r="J412" s="459" t="s">
        <v>1908</v>
      </c>
      <c r="K412" s="459" t="s">
        <v>778</v>
      </c>
      <c r="L412" s="459" t="s">
        <v>164</v>
      </c>
    </row>
    <row r="413" spans="1:12" x14ac:dyDescent="0.2">
      <c r="A413" s="456" t="s">
        <v>778</v>
      </c>
      <c r="B413" s="456" t="s">
        <v>1909</v>
      </c>
      <c r="C413" s="456" t="s">
        <v>779</v>
      </c>
      <c r="D413" s="456" t="s">
        <v>780</v>
      </c>
      <c r="E413" s="456" t="s">
        <v>1910</v>
      </c>
      <c r="F413" s="457" t="s">
        <v>1911</v>
      </c>
      <c r="G413" s="458">
        <v>92919.34</v>
      </c>
      <c r="H413" s="458">
        <v>799703.91</v>
      </c>
      <c r="I413" s="458">
        <v>-706784.57</v>
      </c>
      <c r="J413" s="456" t="s">
        <v>1498</v>
      </c>
      <c r="K413" s="456" t="s">
        <v>778</v>
      </c>
      <c r="L413" s="456" t="s">
        <v>164</v>
      </c>
    </row>
    <row r="414" spans="1:12" x14ac:dyDescent="0.2">
      <c r="A414" s="459" t="s">
        <v>794</v>
      </c>
      <c r="B414" s="459" t="s">
        <v>1909</v>
      </c>
      <c r="C414" s="459" t="s">
        <v>299</v>
      </c>
      <c r="D414" s="459" t="s">
        <v>299</v>
      </c>
      <c r="E414" s="459" t="s">
        <v>299</v>
      </c>
      <c r="F414" s="457" t="s">
        <v>1912</v>
      </c>
      <c r="G414" s="460">
        <v>92919.34</v>
      </c>
      <c r="H414" s="460">
        <v>799703.91</v>
      </c>
      <c r="I414" s="460">
        <v>-706784.57</v>
      </c>
      <c r="J414" s="459" t="s">
        <v>1498</v>
      </c>
      <c r="K414" s="459" t="s">
        <v>778</v>
      </c>
      <c r="L414" s="459" t="s">
        <v>164</v>
      </c>
    </row>
    <row r="415" spans="1:12" x14ac:dyDescent="0.2">
      <c r="A415" s="459" t="s">
        <v>848</v>
      </c>
      <c r="B415" s="459" t="s">
        <v>1913</v>
      </c>
      <c r="C415" s="459" t="s">
        <v>299</v>
      </c>
      <c r="D415" s="459" t="s">
        <v>299</v>
      </c>
      <c r="E415" s="459" t="s">
        <v>299</v>
      </c>
      <c r="F415" s="457" t="s">
        <v>1914</v>
      </c>
      <c r="G415" s="460">
        <v>-24048904.23</v>
      </c>
      <c r="H415" s="460">
        <v>-49339246.07</v>
      </c>
      <c r="I415" s="460">
        <v>25290341.84</v>
      </c>
      <c r="J415" s="459" t="s">
        <v>1915</v>
      </c>
      <c r="K415" s="459" t="s">
        <v>778</v>
      </c>
      <c r="L415" s="459" t="s">
        <v>164</v>
      </c>
    </row>
    <row r="416" spans="1:12" x14ac:dyDescent="0.2">
      <c r="A416" s="459" t="s">
        <v>1162</v>
      </c>
      <c r="B416" s="459" t="s">
        <v>1916</v>
      </c>
      <c r="C416" s="459" t="s">
        <v>299</v>
      </c>
      <c r="D416" s="459" t="s">
        <v>299</v>
      </c>
      <c r="E416" s="459" t="s">
        <v>299</v>
      </c>
      <c r="F416" s="457" t="s">
        <v>1917</v>
      </c>
      <c r="G416" s="460">
        <v>146906350.81999999</v>
      </c>
      <c r="H416" s="460">
        <v>339812666</v>
      </c>
      <c r="I416" s="460">
        <v>-192906315.18000001</v>
      </c>
      <c r="J416" s="459" t="s">
        <v>1918</v>
      </c>
      <c r="K416" s="459" t="s">
        <v>778</v>
      </c>
      <c r="L416" s="459" t="s">
        <v>164</v>
      </c>
    </row>
    <row r="417" spans="1:12" x14ac:dyDescent="0.2">
      <c r="A417" s="456" t="s">
        <v>848</v>
      </c>
      <c r="B417" s="456" t="s">
        <v>1919</v>
      </c>
      <c r="C417" s="456" t="s">
        <v>779</v>
      </c>
      <c r="D417" s="456" t="s">
        <v>780</v>
      </c>
      <c r="E417" s="456" t="s">
        <v>1920</v>
      </c>
      <c r="F417" s="457" t="s">
        <v>1921</v>
      </c>
      <c r="G417" s="458">
        <v>95047422.840000004</v>
      </c>
      <c r="H417" s="458">
        <v>189644946.72</v>
      </c>
      <c r="I417" s="458">
        <v>-94597523.879999995</v>
      </c>
      <c r="J417" s="456" t="s">
        <v>1922</v>
      </c>
      <c r="K417" s="456" t="s">
        <v>778</v>
      </c>
      <c r="L417" s="456" t="s">
        <v>164</v>
      </c>
    </row>
    <row r="418" spans="1:12" x14ac:dyDescent="0.2">
      <c r="A418" s="456" t="s">
        <v>848</v>
      </c>
      <c r="B418" s="456" t="s">
        <v>1919</v>
      </c>
      <c r="C418" s="456" t="s">
        <v>779</v>
      </c>
      <c r="D418" s="456" t="s">
        <v>784</v>
      </c>
      <c r="E418" s="456" t="s">
        <v>1923</v>
      </c>
      <c r="F418" s="457" t="s">
        <v>1924</v>
      </c>
      <c r="G418" s="461">
        <v>0</v>
      </c>
      <c r="H418" s="458">
        <v>3273289.53</v>
      </c>
      <c r="I418" s="458">
        <v>-3273289.53</v>
      </c>
      <c r="J418" s="456" t="s">
        <v>826</v>
      </c>
      <c r="K418" s="456" t="s">
        <v>778</v>
      </c>
      <c r="L418" s="456" t="s">
        <v>164</v>
      </c>
    </row>
    <row r="419" spans="1:12" x14ac:dyDescent="0.2">
      <c r="A419" s="456" t="s">
        <v>848</v>
      </c>
      <c r="B419" s="456" t="s">
        <v>1919</v>
      </c>
      <c r="C419" s="456" t="s">
        <v>779</v>
      </c>
      <c r="D419" s="456" t="s">
        <v>784</v>
      </c>
      <c r="E419" s="456" t="s">
        <v>1925</v>
      </c>
      <c r="F419" s="457" t="s">
        <v>1926</v>
      </c>
      <c r="G419" s="458">
        <v>452100.79</v>
      </c>
      <c r="H419" s="458">
        <v>5135752.63</v>
      </c>
      <c r="I419" s="458">
        <v>-4683651.84</v>
      </c>
      <c r="J419" s="456" t="s">
        <v>1927</v>
      </c>
      <c r="K419" s="456" t="s">
        <v>778</v>
      </c>
      <c r="L419" s="456" t="s">
        <v>164</v>
      </c>
    </row>
    <row r="420" spans="1:12" x14ac:dyDescent="0.2">
      <c r="A420" s="456" t="s">
        <v>848</v>
      </c>
      <c r="B420" s="456" t="s">
        <v>1919</v>
      </c>
      <c r="C420" s="456" t="s">
        <v>779</v>
      </c>
      <c r="D420" s="456" t="s">
        <v>784</v>
      </c>
      <c r="E420" s="456" t="s">
        <v>1928</v>
      </c>
      <c r="F420" s="457" t="s">
        <v>1929</v>
      </c>
      <c r="G420" s="458">
        <v>-445006.46</v>
      </c>
      <c r="H420" s="458">
        <v>-5089319.8499999996</v>
      </c>
      <c r="I420" s="458">
        <v>4644313.3899999997</v>
      </c>
      <c r="J420" s="456" t="s">
        <v>1930</v>
      </c>
      <c r="K420" s="456" t="s">
        <v>778</v>
      </c>
      <c r="L420" s="456" t="s">
        <v>164</v>
      </c>
    </row>
    <row r="421" spans="1:12" x14ac:dyDescent="0.2">
      <c r="A421" s="456" t="s">
        <v>848</v>
      </c>
      <c r="B421" s="456" t="s">
        <v>1919</v>
      </c>
      <c r="C421" s="456" t="s">
        <v>779</v>
      </c>
      <c r="D421" s="456" t="s">
        <v>784</v>
      </c>
      <c r="E421" s="456" t="s">
        <v>1931</v>
      </c>
      <c r="F421" s="457" t="s">
        <v>1932</v>
      </c>
      <c r="G421" s="458">
        <v>-7094.33</v>
      </c>
      <c r="H421" s="458">
        <v>-46432.78</v>
      </c>
      <c r="I421" s="458">
        <v>39338.449999999997</v>
      </c>
      <c r="J421" s="456" t="s">
        <v>1933</v>
      </c>
      <c r="K421" s="456" t="s">
        <v>778</v>
      </c>
      <c r="L421" s="456" t="s">
        <v>164</v>
      </c>
    </row>
    <row r="422" spans="1:12" x14ac:dyDescent="0.2">
      <c r="A422" s="456" t="s">
        <v>848</v>
      </c>
      <c r="B422" s="456" t="s">
        <v>1919</v>
      </c>
      <c r="C422" s="456" t="s">
        <v>779</v>
      </c>
      <c r="D422" s="456" t="s">
        <v>780</v>
      </c>
      <c r="E422" s="456" t="s">
        <v>1934</v>
      </c>
      <c r="F422" s="457" t="s">
        <v>1935</v>
      </c>
      <c r="G422" s="458">
        <v>-98784110.959999993</v>
      </c>
      <c r="H422" s="458">
        <v>-187195279.69999999</v>
      </c>
      <c r="I422" s="458">
        <v>88411168.739999995</v>
      </c>
      <c r="J422" s="456" t="s">
        <v>1936</v>
      </c>
      <c r="K422" s="456" t="s">
        <v>778</v>
      </c>
      <c r="L422" s="456" t="s">
        <v>164</v>
      </c>
    </row>
    <row r="423" spans="1:12" x14ac:dyDescent="0.2">
      <c r="A423" s="456" t="s">
        <v>848</v>
      </c>
      <c r="B423" s="456" t="s">
        <v>1919</v>
      </c>
      <c r="C423" s="456" t="s">
        <v>779</v>
      </c>
      <c r="D423" s="456" t="s">
        <v>784</v>
      </c>
      <c r="E423" s="456" t="s">
        <v>1937</v>
      </c>
      <c r="F423" s="457" t="s">
        <v>1938</v>
      </c>
      <c r="G423" s="458">
        <v>-814364</v>
      </c>
      <c r="H423" s="458">
        <v>-307392</v>
      </c>
      <c r="I423" s="458">
        <v>-506972</v>
      </c>
      <c r="J423" s="456" t="s">
        <v>1939</v>
      </c>
      <c r="K423" s="456" t="s">
        <v>778</v>
      </c>
      <c r="L423" s="456" t="s">
        <v>164</v>
      </c>
    </row>
    <row r="424" spans="1:12" x14ac:dyDescent="0.2">
      <c r="A424" s="456" t="s">
        <v>848</v>
      </c>
      <c r="B424" s="456" t="s">
        <v>1919</v>
      </c>
      <c r="C424" s="456" t="s">
        <v>779</v>
      </c>
      <c r="D424" s="456" t="s">
        <v>780</v>
      </c>
      <c r="E424" s="456" t="s">
        <v>1940</v>
      </c>
      <c r="F424" s="457" t="s">
        <v>1941</v>
      </c>
      <c r="G424" s="458">
        <v>10663.51</v>
      </c>
      <c r="H424" s="458">
        <v>37305.56</v>
      </c>
      <c r="I424" s="458">
        <v>-26642.05</v>
      </c>
      <c r="J424" s="456" t="s">
        <v>1045</v>
      </c>
      <c r="K424" s="456" t="s">
        <v>778</v>
      </c>
      <c r="L424" s="456" t="s">
        <v>164</v>
      </c>
    </row>
    <row r="425" spans="1:12" x14ac:dyDescent="0.2">
      <c r="A425" s="456" t="s">
        <v>848</v>
      </c>
      <c r="B425" s="456" t="s">
        <v>1919</v>
      </c>
      <c r="C425" s="456" t="s">
        <v>779</v>
      </c>
      <c r="D425" s="456" t="s">
        <v>780</v>
      </c>
      <c r="E425" s="456" t="s">
        <v>1942</v>
      </c>
      <c r="F425" s="457" t="s">
        <v>1943</v>
      </c>
      <c r="G425" s="458">
        <v>-5280870.18</v>
      </c>
      <c r="H425" s="458">
        <v>-11475604.48</v>
      </c>
      <c r="I425" s="458">
        <v>6194734.2999999998</v>
      </c>
      <c r="J425" s="456" t="s">
        <v>1944</v>
      </c>
      <c r="K425" s="456" t="s">
        <v>778</v>
      </c>
      <c r="L425" s="456" t="s">
        <v>164</v>
      </c>
    </row>
    <row r="426" spans="1:12" x14ac:dyDescent="0.2">
      <c r="A426" s="456" t="s">
        <v>848</v>
      </c>
      <c r="B426" s="456" t="s">
        <v>1919</v>
      </c>
      <c r="C426" s="456" t="s">
        <v>779</v>
      </c>
      <c r="D426" s="456" t="s">
        <v>801</v>
      </c>
      <c r="E426" s="456" t="s">
        <v>1945</v>
      </c>
      <c r="F426" s="457" t="s">
        <v>1946</v>
      </c>
      <c r="G426" s="458">
        <v>-32182038.190000001</v>
      </c>
      <c r="H426" s="461">
        <v>0</v>
      </c>
      <c r="I426" s="458">
        <v>-32182038.190000001</v>
      </c>
      <c r="J426" s="456" t="s">
        <v>299</v>
      </c>
      <c r="K426" s="456" t="s">
        <v>778</v>
      </c>
      <c r="L426" s="456" t="s">
        <v>164</v>
      </c>
    </row>
    <row r="427" spans="1:12" x14ac:dyDescent="0.2">
      <c r="A427" s="459" t="s">
        <v>1162</v>
      </c>
      <c r="B427" s="459" t="s">
        <v>1919</v>
      </c>
      <c r="C427" s="459" t="s">
        <v>299</v>
      </c>
      <c r="D427" s="459" t="s">
        <v>299</v>
      </c>
      <c r="E427" s="459" t="s">
        <v>299</v>
      </c>
      <c r="F427" s="457" t="s">
        <v>1947</v>
      </c>
      <c r="G427" s="460">
        <v>-42003296.979999997</v>
      </c>
      <c r="H427" s="460">
        <v>-6022734.3700000001</v>
      </c>
      <c r="I427" s="460">
        <v>-35980562.609999999</v>
      </c>
      <c r="J427" s="459" t="s">
        <v>1948</v>
      </c>
      <c r="K427" s="459" t="s">
        <v>778</v>
      </c>
      <c r="L427" s="459" t="s">
        <v>164</v>
      </c>
    </row>
    <row r="428" spans="1:12" x14ac:dyDescent="0.2">
      <c r="A428" s="456" t="s">
        <v>884</v>
      </c>
      <c r="B428" s="456" t="s">
        <v>1949</v>
      </c>
      <c r="C428" s="456" t="s">
        <v>779</v>
      </c>
      <c r="D428" s="456" t="s">
        <v>780</v>
      </c>
      <c r="E428" s="456" t="s">
        <v>1950</v>
      </c>
      <c r="F428" s="457" t="s">
        <v>1951</v>
      </c>
      <c r="G428" s="458">
        <v>806350.42</v>
      </c>
      <c r="H428" s="458">
        <v>-3438257.48</v>
      </c>
      <c r="I428" s="458">
        <v>4244607.9000000004</v>
      </c>
      <c r="J428" s="456" t="s">
        <v>1952</v>
      </c>
      <c r="K428" s="456" t="s">
        <v>778</v>
      </c>
      <c r="L428" s="456" t="s">
        <v>164</v>
      </c>
    </row>
    <row r="429" spans="1:12" x14ac:dyDescent="0.2">
      <c r="A429" s="456" t="s">
        <v>884</v>
      </c>
      <c r="B429" s="456" t="s">
        <v>1949</v>
      </c>
      <c r="C429" s="456" t="s">
        <v>779</v>
      </c>
      <c r="D429" s="456" t="s">
        <v>784</v>
      </c>
      <c r="E429" s="456" t="s">
        <v>1953</v>
      </c>
      <c r="F429" s="457" t="s">
        <v>1954</v>
      </c>
      <c r="G429" s="458">
        <v>-60000</v>
      </c>
      <c r="H429" s="458">
        <v>4103.6400000000003</v>
      </c>
      <c r="I429" s="458">
        <v>-64103.64</v>
      </c>
      <c r="J429" s="456" t="s">
        <v>1955</v>
      </c>
      <c r="K429" s="456" t="s">
        <v>778</v>
      </c>
      <c r="L429" s="456" t="s">
        <v>164</v>
      </c>
    </row>
    <row r="430" spans="1:12" x14ac:dyDescent="0.2">
      <c r="A430" s="459" t="s">
        <v>778</v>
      </c>
      <c r="B430" s="459" t="s">
        <v>1949</v>
      </c>
      <c r="C430" s="459" t="s">
        <v>299</v>
      </c>
      <c r="D430" s="459" t="s">
        <v>299</v>
      </c>
      <c r="E430" s="459" t="s">
        <v>299</v>
      </c>
      <c r="F430" s="457" t="s">
        <v>1956</v>
      </c>
      <c r="G430" s="460">
        <v>746350.42</v>
      </c>
      <c r="H430" s="460">
        <v>-3434153.84</v>
      </c>
      <c r="I430" s="460">
        <v>4180504.26</v>
      </c>
      <c r="J430" s="459" t="s">
        <v>1957</v>
      </c>
      <c r="K430" s="459" t="s">
        <v>778</v>
      </c>
      <c r="L430" s="459" t="s">
        <v>164</v>
      </c>
    </row>
    <row r="431" spans="1:12" x14ac:dyDescent="0.2">
      <c r="A431" s="459" t="s">
        <v>794</v>
      </c>
      <c r="B431" s="459" t="s">
        <v>1958</v>
      </c>
      <c r="C431" s="459" t="s">
        <v>299</v>
      </c>
      <c r="D431" s="459" t="s">
        <v>299</v>
      </c>
      <c r="E431" s="459" t="s">
        <v>299</v>
      </c>
      <c r="F431" s="457" t="s">
        <v>1959</v>
      </c>
      <c r="G431" s="460">
        <v>746350.42</v>
      </c>
      <c r="H431" s="460">
        <v>-3434153.84</v>
      </c>
      <c r="I431" s="460">
        <v>4180504.26</v>
      </c>
      <c r="J431" s="459" t="s">
        <v>1957</v>
      </c>
      <c r="K431" s="459" t="s">
        <v>778</v>
      </c>
      <c r="L431" s="459" t="s">
        <v>164</v>
      </c>
    </row>
    <row r="432" spans="1:12" x14ac:dyDescent="0.2">
      <c r="A432" s="456" t="s">
        <v>884</v>
      </c>
      <c r="B432" s="456" t="s">
        <v>1960</v>
      </c>
      <c r="C432" s="456" t="s">
        <v>779</v>
      </c>
      <c r="D432" s="456" t="s">
        <v>784</v>
      </c>
      <c r="E432" s="456" t="s">
        <v>1961</v>
      </c>
      <c r="F432" s="457" t="s">
        <v>1962</v>
      </c>
      <c r="G432" s="458">
        <v>-24327.43</v>
      </c>
      <c r="H432" s="458">
        <v>-64981.81</v>
      </c>
      <c r="I432" s="458">
        <v>40654.379999999997</v>
      </c>
      <c r="J432" s="456" t="s">
        <v>1963</v>
      </c>
      <c r="K432" s="456" t="s">
        <v>778</v>
      </c>
      <c r="L432" s="456" t="s">
        <v>164</v>
      </c>
    </row>
    <row r="433" spans="1:12" x14ac:dyDescent="0.2">
      <c r="A433" s="459" t="s">
        <v>778</v>
      </c>
      <c r="B433" s="459" t="s">
        <v>1960</v>
      </c>
      <c r="C433" s="459" t="s">
        <v>299</v>
      </c>
      <c r="D433" s="459" t="s">
        <v>299</v>
      </c>
      <c r="E433" s="459" t="s">
        <v>299</v>
      </c>
      <c r="F433" s="457" t="s">
        <v>1964</v>
      </c>
      <c r="G433" s="460">
        <v>-24327.43</v>
      </c>
      <c r="H433" s="460">
        <v>-64981.81</v>
      </c>
      <c r="I433" s="460">
        <v>40654.379999999997</v>
      </c>
      <c r="J433" s="459" t="s">
        <v>1963</v>
      </c>
      <c r="K433" s="459" t="s">
        <v>778</v>
      </c>
      <c r="L433" s="459" t="s">
        <v>164</v>
      </c>
    </row>
    <row r="434" spans="1:12" x14ac:dyDescent="0.2">
      <c r="A434" s="459" t="s">
        <v>794</v>
      </c>
      <c r="B434" s="459" t="s">
        <v>1965</v>
      </c>
      <c r="C434" s="459" t="s">
        <v>299</v>
      </c>
      <c r="D434" s="459" t="s">
        <v>299</v>
      </c>
      <c r="E434" s="459" t="s">
        <v>299</v>
      </c>
      <c r="F434" s="457" t="s">
        <v>1966</v>
      </c>
      <c r="G434" s="460">
        <v>-24327.43</v>
      </c>
      <c r="H434" s="460">
        <v>-64981.81</v>
      </c>
      <c r="I434" s="460">
        <v>40654.379999999997</v>
      </c>
      <c r="J434" s="459" t="s">
        <v>1963</v>
      </c>
      <c r="K434" s="459" t="s">
        <v>778</v>
      </c>
      <c r="L434" s="459" t="s">
        <v>164</v>
      </c>
    </row>
    <row r="435" spans="1:12" x14ac:dyDescent="0.2">
      <c r="A435" s="459" t="s">
        <v>848</v>
      </c>
      <c r="B435" s="459" t="s">
        <v>1967</v>
      </c>
      <c r="C435" s="459" t="s">
        <v>299</v>
      </c>
      <c r="D435" s="459" t="s">
        <v>299</v>
      </c>
      <c r="E435" s="459" t="s">
        <v>299</v>
      </c>
      <c r="F435" s="457" t="s">
        <v>1968</v>
      </c>
      <c r="G435" s="460">
        <v>722022.99</v>
      </c>
      <c r="H435" s="460">
        <v>-3499135.65</v>
      </c>
      <c r="I435" s="460">
        <v>4221158.6399999997</v>
      </c>
      <c r="J435" s="459" t="s">
        <v>1969</v>
      </c>
      <c r="K435" s="459" t="s">
        <v>778</v>
      </c>
      <c r="L435" s="459" t="s">
        <v>164</v>
      </c>
    </row>
    <row r="436" spans="1:12" x14ac:dyDescent="0.2">
      <c r="A436" s="456" t="s">
        <v>794</v>
      </c>
      <c r="B436" s="456" t="s">
        <v>1970</v>
      </c>
      <c r="C436" s="456" t="s">
        <v>779</v>
      </c>
      <c r="D436" s="456" t="s">
        <v>780</v>
      </c>
      <c r="E436" s="456" t="s">
        <v>1971</v>
      </c>
      <c r="F436" s="457" t="s">
        <v>1972</v>
      </c>
      <c r="G436" s="458">
        <v>40011105.240000002</v>
      </c>
      <c r="H436" s="461">
        <v>0</v>
      </c>
      <c r="I436" s="458">
        <v>40011105.240000002</v>
      </c>
      <c r="J436" s="456" t="s">
        <v>299</v>
      </c>
      <c r="K436" s="456" t="s">
        <v>778</v>
      </c>
      <c r="L436" s="456" t="s">
        <v>164</v>
      </c>
    </row>
    <row r="437" spans="1:12" x14ac:dyDescent="0.2">
      <c r="A437" s="456" t="s">
        <v>794</v>
      </c>
      <c r="B437" s="456" t="s">
        <v>1970</v>
      </c>
      <c r="C437" s="456" t="s">
        <v>779</v>
      </c>
      <c r="D437" s="456" t="s">
        <v>780</v>
      </c>
      <c r="E437" s="456" t="s">
        <v>1973</v>
      </c>
      <c r="F437" s="457" t="s">
        <v>1974</v>
      </c>
      <c r="G437" s="458">
        <v>-15500044.01</v>
      </c>
      <c r="H437" s="461">
        <v>0</v>
      </c>
      <c r="I437" s="458">
        <v>-15500044.01</v>
      </c>
      <c r="J437" s="456" t="s">
        <v>299</v>
      </c>
      <c r="K437" s="456" t="s">
        <v>778</v>
      </c>
      <c r="L437" s="456" t="s">
        <v>164</v>
      </c>
    </row>
    <row r="438" spans="1:12" x14ac:dyDescent="0.2">
      <c r="A438" s="459" t="s">
        <v>848</v>
      </c>
      <c r="B438" s="459" t="s">
        <v>1970</v>
      </c>
      <c r="C438" s="459" t="s">
        <v>299</v>
      </c>
      <c r="D438" s="459" t="s">
        <v>299</v>
      </c>
      <c r="E438" s="459" t="s">
        <v>299</v>
      </c>
      <c r="F438" s="457" t="s">
        <v>1975</v>
      </c>
      <c r="G438" s="460">
        <v>24511061.23</v>
      </c>
      <c r="H438" s="462">
        <v>0</v>
      </c>
      <c r="I438" s="460">
        <v>24511061.23</v>
      </c>
      <c r="J438" s="459" t="s">
        <v>299</v>
      </c>
      <c r="K438" s="459" t="s">
        <v>778</v>
      </c>
      <c r="L438" s="459" t="s">
        <v>164</v>
      </c>
    </row>
    <row r="439" spans="1:12" x14ac:dyDescent="0.2">
      <c r="A439" s="456" t="s">
        <v>794</v>
      </c>
      <c r="B439" s="456" t="s">
        <v>1976</v>
      </c>
      <c r="C439" s="456" t="s">
        <v>780</v>
      </c>
      <c r="D439" s="456" t="s">
        <v>780</v>
      </c>
      <c r="E439" s="456" t="s">
        <v>1977</v>
      </c>
      <c r="F439" s="457" t="s">
        <v>1978</v>
      </c>
      <c r="G439" s="458">
        <v>1241362.24</v>
      </c>
      <c r="H439" s="458">
        <v>-10977255.560000001</v>
      </c>
      <c r="I439" s="458">
        <v>12218617.800000001</v>
      </c>
      <c r="J439" s="456" t="s">
        <v>1979</v>
      </c>
      <c r="K439" s="456" t="s">
        <v>778</v>
      </c>
      <c r="L439" s="456" t="s">
        <v>164</v>
      </c>
    </row>
    <row r="440" spans="1:12" x14ac:dyDescent="0.2">
      <c r="A440" s="456" t="s">
        <v>794</v>
      </c>
      <c r="B440" s="456" t="s">
        <v>1976</v>
      </c>
      <c r="C440" s="456" t="s">
        <v>779</v>
      </c>
      <c r="D440" s="456" t="s">
        <v>780</v>
      </c>
      <c r="E440" s="456" t="s">
        <v>1980</v>
      </c>
      <c r="F440" s="457" t="s">
        <v>1981</v>
      </c>
      <c r="G440" s="458">
        <v>-22327721.359999999</v>
      </c>
      <c r="H440" s="461">
        <v>0</v>
      </c>
      <c r="I440" s="458">
        <v>-22327721.359999999</v>
      </c>
      <c r="J440" s="456" t="s">
        <v>299</v>
      </c>
      <c r="K440" s="456" t="s">
        <v>778</v>
      </c>
      <c r="L440" s="456" t="s">
        <v>164</v>
      </c>
    </row>
    <row r="441" spans="1:12" x14ac:dyDescent="0.2">
      <c r="A441" s="456" t="s">
        <v>794</v>
      </c>
      <c r="B441" s="456" t="s">
        <v>1976</v>
      </c>
      <c r="C441" s="456" t="s">
        <v>779</v>
      </c>
      <c r="D441" s="456" t="s">
        <v>1220</v>
      </c>
      <c r="E441" s="456" t="s">
        <v>1982</v>
      </c>
      <c r="F441" s="457" t="s">
        <v>1983</v>
      </c>
      <c r="G441" s="458">
        <v>-1750848.07</v>
      </c>
      <c r="H441" s="461">
        <v>0</v>
      </c>
      <c r="I441" s="458">
        <v>-1750848.07</v>
      </c>
      <c r="J441" s="456" t="s">
        <v>299</v>
      </c>
      <c r="K441" s="456" t="s">
        <v>778</v>
      </c>
      <c r="L441" s="456" t="s">
        <v>164</v>
      </c>
    </row>
    <row r="442" spans="1:12" x14ac:dyDescent="0.2">
      <c r="A442" s="456" t="s">
        <v>794</v>
      </c>
      <c r="B442" s="456" t="s">
        <v>1976</v>
      </c>
      <c r="C442" s="456" t="s">
        <v>779</v>
      </c>
      <c r="D442" s="456" t="s">
        <v>780</v>
      </c>
      <c r="E442" s="456" t="s">
        <v>1984</v>
      </c>
      <c r="F442" s="457" t="s">
        <v>1985</v>
      </c>
      <c r="G442" s="458">
        <v>-611662.31999999995</v>
      </c>
      <c r="H442" s="461">
        <v>0</v>
      </c>
      <c r="I442" s="458">
        <v>-611662.31999999995</v>
      </c>
      <c r="J442" s="456" t="s">
        <v>299</v>
      </c>
      <c r="K442" s="456" t="s">
        <v>778</v>
      </c>
      <c r="L442" s="456" t="s">
        <v>164</v>
      </c>
    </row>
    <row r="443" spans="1:12" x14ac:dyDescent="0.2">
      <c r="A443" s="459" t="s">
        <v>848</v>
      </c>
      <c r="B443" s="459" t="s">
        <v>1976</v>
      </c>
      <c r="C443" s="459" t="s">
        <v>299</v>
      </c>
      <c r="D443" s="459" t="s">
        <v>299</v>
      </c>
      <c r="E443" s="459" t="s">
        <v>299</v>
      </c>
      <c r="F443" s="457" t="s">
        <v>1986</v>
      </c>
      <c r="G443" s="460">
        <v>-23448869.510000002</v>
      </c>
      <c r="H443" s="460">
        <v>-10977255.560000001</v>
      </c>
      <c r="I443" s="460">
        <v>-12471613.949999999</v>
      </c>
      <c r="J443" s="459" t="s">
        <v>1987</v>
      </c>
      <c r="K443" s="459" t="s">
        <v>778</v>
      </c>
      <c r="L443" s="459" t="s">
        <v>164</v>
      </c>
    </row>
    <row r="444" spans="1:12" x14ac:dyDescent="0.2">
      <c r="A444" s="456" t="s">
        <v>794</v>
      </c>
      <c r="B444" s="456" t="s">
        <v>1988</v>
      </c>
      <c r="C444" s="456" t="s">
        <v>779</v>
      </c>
      <c r="D444" s="456" t="s">
        <v>780</v>
      </c>
      <c r="E444" s="456" t="s">
        <v>1989</v>
      </c>
      <c r="F444" s="457" t="s">
        <v>1990</v>
      </c>
      <c r="G444" s="458">
        <v>-6005380.9000000004</v>
      </c>
      <c r="H444" s="458">
        <v>-3009532.68</v>
      </c>
      <c r="I444" s="458">
        <v>-2995848.22</v>
      </c>
      <c r="J444" s="456" t="s">
        <v>1536</v>
      </c>
      <c r="K444" s="456" t="s">
        <v>778</v>
      </c>
      <c r="L444" s="456" t="s">
        <v>164</v>
      </c>
    </row>
    <row r="445" spans="1:12" x14ac:dyDescent="0.2">
      <c r="A445" s="459" t="s">
        <v>848</v>
      </c>
      <c r="B445" s="459" t="s">
        <v>1988</v>
      </c>
      <c r="C445" s="459" t="s">
        <v>299</v>
      </c>
      <c r="D445" s="459" t="s">
        <v>299</v>
      </c>
      <c r="E445" s="459" t="s">
        <v>299</v>
      </c>
      <c r="F445" s="457" t="s">
        <v>1991</v>
      </c>
      <c r="G445" s="460">
        <v>-6005380.9000000004</v>
      </c>
      <c r="H445" s="460">
        <v>-3009532.68</v>
      </c>
      <c r="I445" s="460">
        <v>-2995848.22</v>
      </c>
      <c r="J445" s="459" t="s">
        <v>1536</v>
      </c>
      <c r="K445" s="459" t="s">
        <v>778</v>
      </c>
      <c r="L445" s="459" t="s">
        <v>164</v>
      </c>
    </row>
    <row r="446" spans="1:12" x14ac:dyDescent="0.2">
      <c r="A446" s="456" t="s">
        <v>778</v>
      </c>
      <c r="B446" s="456" t="s">
        <v>1992</v>
      </c>
      <c r="C446" s="456" t="s">
        <v>779</v>
      </c>
      <c r="D446" s="456" t="s">
        <v>1220</v>
      </c>
      <c r="E446" s="456" t="s">
        <v>1993</v>
      </c>
      <c r="F446" s="457" t="s">
        <v>1994</v>
      </c>
      <c r="G446" s="461">
        <v>0</v>
      </c>
      <c r="H446" s="458">
        <v>-2570.5100000000002</v>
      </c>
      <c r="I446" s="458">
        <v>2570.5100000000002</v>
      </c>
      <c r="J446" s="456" t="s">
        <v>810</v>
      </c>
      <c r="K446" s="456" t="s">
        <v>778</v>
      </c>
      <c r="L446" s="456" t="s">
        <v>164</v>
      </c>
    </row>
    <row r="447" spans="1:12" x14ac:dyDescent="0.2">
      <c r="A447" s="459" t="s">
        <v>794</v>
      </c>
      <c r="B447" s="459" t="s">
        <v>1992</v>
      </c>
      <c r="C447" s="459" t="s">
        <v>299</v>
      </c>
      <c r="D447" s="459" t="s">
        <v>299</v>
      </c>
      <c r="E447" s="459" t="s">
        <v>299</v>
      </c>
      <c r="F447" s="457" t="s">
        <v>1995</v>
      </c>
      <c r="G447" s="462">
        <v>0</v>
      </c>
      <c r="H447" s="460">
        <v>-2570.5100000000002</v>
      </c>
      <c r="I447" s="460">
        <v>2570.5100000000002</v>
      </c>
      <c r="J447" s="459" t="s">
        <v>810</v>
      </c>
      <c r="K447" s="459" t="s">
        <v>778</v>
      </c>
      <c r="L447" s="459" t="s">
        <v>164</v>
      </c>
    </row>
    <row r="448" spans="1:12" x14ac:dyDescent="0.2">
      <c r="A448" s="459" t="s">
        <v>848</v>
      </c>
      <c r="B448" s="459" t="s">
        <v>1996</v>
      </c>
      <c r="C448" s="459" t="s">
        <v>299</v>
      </c>
      <c r="D448" s="459" t="s">
        <v>299</v>
      </c>
      <c r="E448" s="459" t="s">
        <v>299</v>
      </c>
      <c r="F448" s="457" t="s">
        <v>1997</v>
      </c>
      <c r="G448" s="462">
        <v>0</v>
      </c>
      <c r="H448" s="460">
        <v>-2570.5100000000002</v>
      </c>
      <c r="I448" s="460">
        <v>2570.5100000000002</v>
      </c>
      <c r="J448" s="459" t="s">
        <v>810</v>
      </c>
      <c r="K448" s="459" t="s">
        <v>778</v>
      </c>
      <c r="L448" s="459" t="s">
        <v>164</v>
      </c>
    </row>
    <row r="449" spans="1:12" x14ac:dyDescent="0.2">
      <c r="A449" s="459" t="s">
        <v>1162</v>
      </c>
      <c r="B449" s="459" t="s">
        <v>1998</v>
      </c>
      <c r="C449" s="459" t="s">
        <v>299</v>
      </c>
      <c r="D449" s="459" t="s">
        <v>299</v>
      </c>
      <c r="E449" s="459" t="s">
        <v>299</v>
      </c>
      <c r="F449" s="457" t="s">
        <v>1999</v>
      </c>
      <c r="G449" s="460">
        <v>-4221166.1900000004</v>
      </c>
      <c r="H449" s="460">
        <v>-17488494.399999999</v>
      </c>
      <c r="I449" s="460">
        <v>13267328.210000001</v>
      </c>
      <c r="J449" s="459" t="s">
        <v>2000</v>
      </c>
      <c r="K449" s="459" t="s">
        <v>778</v>
      </c>
      <c r="L449" s="459" t="s">
        <v>164</v>
      </c>
    </row>
    <row r="450" spans="1:12" x14ac:dyDescent="0.2">
      <c r="A450" s="459" t="s">
        <v>2001</v>
      </c>
      <c r="B450" s="459" t="s">
        <v>2002</v>
      </c>
      <c r="C450" s="459" t="s">
        <v>299</v>
      </c>
      <c r="D450" s="459" t="s">
        <v>299</v>
      </c>
      <c r="E450" s="459" t="s">
        <v>299</v>
      </c>
      <c r="F450" s="457" t="s">
        <v>2003</v>
      </c>
      <c r="G450" s="460">
        <v>-163392440.91</v>
      </c>
      <c r="H450" s="460">
        <v>-940912145.47000003</v>
      </c>
      <c r="I450" s="460">
        <v>777519704.55999994</v>
      </c>
      <c r="J450" s="459" t="s">
        <v>2004</v>
      </c>
      <c r="K450" s="459" t="s">
        <v>778</v>
      </c>
      <c r="L450" s="459" t="s">
        <v>164</v>
      </c>
    </row>
    <row r="451" spans="1:12" x14ac:dyDescent="0.2">
      <c r="A451" s="456" t="s">
        <v>794</v>
      </c>
      <c r="B451" s="456" t="s">
        <v>2005</v>
      </c>
      <c r="C451" s="456" t="s">
        <v>779</v>
      </c>
      <c r="D451" s="456" t="s">
        <v>780</v>
      </c>
      <c r="E451" s="456" t="s">
        <v>2006</v>
      </c>
      <c r="F451" s="457" t="s">
        <v>2007</v>
      </c>
      <c r="G451" s="458">
        <v>11606514.050000001</v>
      </c>
      <c r="H451" s="458">
        <v>27745822.039999999</v>
      </c>
      <c r="I451" s="458">
        <v>-16139307.99</v>
      </c>
      <c r="J451" s="456" t="s">
        <v>2008</v>
      </c>
      <c r="K451" s="456" t="s">
        <v>778</v>
      </c>
      <c r="L451" s="456" t="s">
        <v>164</v>
      </c>
    </row>
    <row r="452" spans="1:12" x14ac:dyDescent="0.2">
      <c r="A452" s="456" t="s">
        <v>794</v>
      </c>
      <c r="B452" s="456" t="s">
        <v>2005</v>
      </c>
      <c r="C452" s="456" t="s">
        <v>779</v>
      </c>
      <c r="D452" s="456" t="s">
        <v>1220</v>
      </c>
      <c r="E452" s="456" t="s">
        <v>2009</v>
      </c>
      <c r="F452" s="457" t="s">
        <v>2010</v>
      </c>
      <c r="G452" s="458">
        <v>520558</v>
      </c>
      <c r="H452" s="458">
        <v>2267461</v>
      </c>
      <c r="I452" s="458">
        <v>-1746903</v>
      </c>
      <c r="J452" s="456" t="s">
        <v>1091</v>
      </c>
      <c r="K452" s="456" t="s">
        <v>778</v>
      </c>
      <c r="L452" s="456" t="s">
        <v>164</v>
      </c>
    </row>
    <row r="453" spans="1:12" x14ac:dyDescent="0.2">
      <c r="A453" s="456" t="s">
        <v>794</v>
      </c>
      <c r="B453" s="456" t="s">
        <v>2005</v>
      </c>
      <c r="C453" s="456" t="s">
        <v>779</v>
      </c>
      <c r="D453" s="456" t="s">
        <v>780</v>
      </c>
      <c r="E453" s="456" t="s">
        <v>2011</v>
      </c>
      <c r="F453" s="457" t="s">
        <v>2012</v>
      </c>
      <c r="G453" s="458">
        <v>6647538.3600000003</v>
      </c>
      <c r="H453" s="458">
        <v>7649642.5999999996</v>
      </c>
      <c r="I453" s="458">
        <v>-1002104.24</v>
      </c>
      <c r="J453" s="456" t="s">
        <v>2013</v>
      </c>
      <c r="K453" s="456" t="s">
        <v>778</v>
      </c>
      <c r="L453" s="456" t="s">
        <v>164</v>
      </c>
    </row>
    <row r="454" spans="1:12" x14ac:dyDescent="0.2">
      <c r="A454" s="456" t="s">
        <v>794</v>
      </c>
      <c r="B454" s="456" t="s">
        <v>2005</v>
      </c>
      <c r="C454" s="456" t="s">
        <v>779</v>
      </c>
      <c r="D454" s="456" t="s">
        <v>780</v>
      </c>
      <c r="E454" s="456" t="s">
        <v>2014</v>
      </c>
      <c r="F454" s="457" t="s">
        <v>2015</v>
      </c>
      <c r="G454" s="458">
        <v>110611.35</v>
      </c>
      <c r="H454" s="458">
        <v>243381.83</v>
      </c>
      <c r="I454" s="458">
        <v>-132770.48000000001</v>
      </c>
      <c r="J454" s="456" t="s">
        <v>1590</v>
      </c>
      <c r="K454" s="456" t="s">
        <v>778</v>
      </c>
      <c r="L454" s="456" t="s">
        <v>164</v>
      </c>
    </row>
    <row r="455" spans="1:12" x14ac:dyDescent="0.2">
      <c r="A455" s="459" t="s">
        <v>848</v>
      </c>
      <c r="B455" s="459" t="s">
        <v>2005</v>
      </c>
      <c r="C455" s="459" t="s">
        <v>299</v>
      </c>
      <c r="D455" s="459" t="s">
        <v>299</v>
      </c>
      <c r="E455" s="459" t="s">
        <v>299</v>
      </c>
      <c r="F455" s="457" t="s">
        <v>2016</v>
      </c>
      <c r="G455" s="460">
        <v>18885221.760000002</v>
      </c>
      <c r="H455" s="460">
        <v>37906307.469999999</v>
      </c>
      <c r="I455" s="460">
        <v>-19021085.710000001</v>
      </c>
      <c r="J455" s="459" t="s">
        <v>2017</v>
      </c>
      <c r="K455" s="459" t="s">
        <v>778</v>
      </c>
      <c r="L455" s="459" t="s">
        <v>164</v>
      </c>
    </row>
    <row r="456" spans="1:12" x14ac:dyDescent="0.2">
      <c r="A456" s="456" t="s">
        <v>794</v>
      </c>
      <c r="B456" s="456" t="s">
        <v>2018</v>
      </c>
      <c r="C456" s="456" t="s">
        <v>779</v>
      </c>
      <c r="D456" s="456" t="s">
        <v>780</v>
      </c>
      <c r="E456" s="456" t="s">
        <v>2019</v>
      </c>
      <c r="F456" s="457" t="s">
        <v>2020</v>
      </c>
      <c r="G456" s="458">
        <v>1270371.33</v>
      </c>
      <c r="H456" s="458">
        <v>2391211.85</v>
      </c>
      <c r="I456" s="458">
        <v>-1120840.52</v>
      </c>
      <c r="J456" s="456" t="s">
        <v>2021</v>
      </c>
      <c r="K456" s="456" t="s">
        <v>778</v>
      </c>
      <c r="L456" s="456" t="s">
        <v>164</v>
      </c>
    </row>
    <row r="457" spans="1:12" x14ac:dyDescent="0.2">
      <c r="A457" s="459" t="s">
        <v>848</v>
      </c>
      <c r="B457" s="459" t="s">
        <v>2018</v>
      </c>
      <c r="C457" s="459" t="s">
        <v>299</v>
      </c>
      <c r="D457" s="459" t="s">
        <v>299</v>
      </c>
      <c r="E457" s="459" t="s">
        <v>299</v>
      </c>
      <c r="F457" s="457" t="s">
        <v>2022</v>
      </c>
      <c r="G457" s="460">
        <v>1270371.33</v>
      </c>
      <c r="H457" s="460">
        <v>2391211.85</v>
      </c>
      <c r="I457" s="460">
        <v>-1120840.52</v>
      </c>
      <c r="J457" s="459" t="s">
        <v>2021</v>
      </c>
      <c r="K457" s="459" t="s">
        <v>778</v>
      </c>
      <c r="L457" s="459" t="s">
        <v>164</v>
      </c>
    </row>
    <row r="458" spans="1:12" x14ac:dyDescent="0.2">
      <c r="A458" s="459" t="s">
        <v>1162</v>
      </c>
      <c r="B458" s="459" t="s">
        <v>2023</v>
      </c>
      <c r="C458" s="459" t="s">
        <v>299</v>
      </c>
      <c r="D458" s="459" t="s">
        <v>299</v>
      </c>
      <c r="E458" s="459" t="s">
        <v>299</v>
      </c>
      <c r="F458" s="457" t="s">
        <v>2024</v>
      </c>
      <c r="G458" s="460">
        <v>20155593.09</v>
      </c>
      <c r="H458" s="460">
        <v>40297519.32</v>
      </c>
      <c r="I458" s="460">
        <v>-20141926.23</v>
      </c>
      <c r="J458" s="459" t="s">
        <v>1525</v>
      </c>
      <c r="K458" s="459" t="s">
        <v>778</v>
      </c>
      <c r="L458" s="459" t="s">
        <v>164</v>
      </c>
    </row>
    <row r="459" spans="1:12" x14ac:dyDescent="0.2">
      <c r="A459" s="459" t="s">
        <v>2001</v>
      </c>
      <c r="B459" s="459" t="s">
        <v>2025</v>
      </c>
      <c r="C459" s="459" t="s">
        <v>299</v>
      </c>
      <c r="D459" s="459" t="s">
        <v>299</v>
      </c>
      <c r="E459" s="459" t="s">
        <v>299</v>
      </c>
      <c r="F459" s="457" t="s">
        <v>2026</v>
      </c>
      <c r="G459" s="460">
        <v>20155593.09</v>
      </c>
      <c r="H459" s="460">
        <v>40297519.32</v>
      </c>
      <c r="I459" s="460">
        <v>-20141926.23</v>
      </c>
      <c r="J459" s="459" t="s">
        <v>1525</v>
      </c>
      <c r="K459" s="459" t="s">
        <v>778</v>
      </c>
      <c r="L459" s="459" t="s">
        <v>164</v>
      </c>
    </row>
    <row r="460" spans="1:12" x14ac:dyDescent="0.2">
      <c r="A460" s="459" t="s">
        <v>2027</v>
      </c>
      <c r="B460" s="459" t="s">
        <v>2028</v>
      </c>
      <c r="C460" s="459" t="s">
        <v>299</v>
      </c>
      <c r="D460" s="459" t="s">
        <v>299</v>
      </c>
      <c r="E460" s="459" t="s">
        <v>299</v>
      </c>
      <c r="F460" s="457" t="s">
        <v>2029</v>
      </c>
      <c r="G460" s="460">
        <v>-143236847.81999999</v>
      </c>
      <c r="H460" s="460">
        <v>-900614626.14999998</v>
      </c>
      <c r="I460" s="460">
        <v>757377778.33000004</v>
      </c>
      <c r="J460" s="459" t="s">
        <v>2030</v>
      </c>
      <c r="K460" s="459" t="s">
        <v>778</v>
      </c>
      <c r="L460" s="459" t="s">
        <v>164</v>
      </c>
    </row>
    <row r="461" spans="1:12" x14ac:dyDescent="0.2">
      <c r="A461" s="456" t="s">
        <v>1162</v>
      </c>
      <c r="B461" s="456" t="s">
        <v>2031</v>
      </c>
      <c r="C461" s="456" t="s">
        <v>780</v>
      </c>
      <c r="D461" s="456" t="s">
        <v>780</v>
      </c>
      <c r="E461" s="456" t="s">
        <v>2032</v>
      </c>
      <c r="F461" s="457" t="s">
        <v>2033</v>
      </c>
      <c r="G461" s="461">
        <v>0</v>
      </c>
      <c r="H461" s="458">
        <v>-9314700</v>
      </c>
      <c r="I461" s="458">
        <v>9314700</v>
      </c>
      <c r="J461" s="456" t="s">
        <v>810</v>
      </c>
      <c r="K461" s="456" t="s">
        <v>778</v>
      </c>
      <c r="L461" s="456" t="s">
        <v>164</v>
      </c>
    </row>
    <row r="462" spans="1:12" x14ac:dyDescent="0.2">
      <c r="A462" s="456" t="s">
        <v>1162</v>
      </c>
      <c r="B462" s="456" t="s">
        <v>2031</v>
      </c>
      <c r="C462" s="456" t="s">
        <v>780</v>
      </c>
      <c r="D462" s="456" t="s">
        <v>780</v>
      </c>
      <c r="E462" s="456" t="s">
        <v>2034</v>
      </c>
      <c r="F462" s="457" t="s">
        <v>2035</v>
      </c>
      <c r="G462" s="458">
        <v>29395011.73</v>
      </c>
      <c r="H462" s="458">
        <v>249253862.59</v>
      </c>
      <c r="I462" s="458">
        <v>-219858850.86000001</v>
      </c>
      <c r="J462" s="456" t="s">
        <v>2036</v>
      </c>
      <c r="K462" s="456" t="s">
        <v>778</v>
      </c>
      <c r="L462" s="456" t="s">
        <v>164</v>
      </c>
    </row>
    <row r="463" spans="1:12" x14ac:dyDescent="0.2">
      <c r="A463" s="459" t="s">
        <v>2001</v>
      </c>
      <c r="B463" s="459" t="s">
        <v>2031</v>
      </c>
      <c r="C463" s="459" t="s">
        <v>299</v>
      </c>
      <c r="D463" s="459" t="s">
        <v>299</v>
      </c>
      <c r="E463" s="459" t="s">
        <v>299</v>
      </c>
      <c r="F463" s="457" t="s">
        <v>2037</v>
      </c>
      <c r="G463" s="460">
        <v>29395011.73</v>
      </c>
      <c r="H463" s="460">
        <v>239939162.59</v>
      </c>
      <c r="I463" s="460">
        <v>-210544150.86000001</v>
      </c>
      <c r="J463" s="459" t="s">
        <v>2038</v>
      </c>
      <c r="K463" s="459" t="s">
        <v>778</v>
      </c>
      <c r="L463" s="459" t="s">
        <v>164</v>
      </c>
    </row>
    <row r="464" spans="1:12" x14ac:dyDescent="0.2">
      <c r="A464" s="459" t="s">
        <v>2027</v>
      </c>
      <c r="B464" s="459" t="s">
        <v>2039</v>
      </c>
      <c r="C464" s="459" t="s">
        <v>299</v>
      </c>
      <c r="D464" s="459" t="s">
        <v>299</v>
      </c>
      <c r="E464" s="459" t="s">
        <v>299</v>
      </c>
      <c r="F464" s="457" t="s">
        <v>2040</v>
      </c>
      <c r="G464" s="460">
        <v>29395011.73</v>
      </c>
      <c r="H464" s="460">
        <v>239939162.59</v>
      </c>
      <c r="I464" s="460">
        <v>-210544150.86000001</v>
      </c>
      <c r="J464" s="459" t="s">
        <v>2038</v>
      </c>
      <c r="K464" s="459" t="s">
        <v>778</v>
      </c>
      <c r="L464" s="459" t="s">
        <v>164</v>
      </c>
    </row>
    <row r="465" spans="1:12" x14ac:dyDescent="0.2">
      <c r="A465" s="456" t="s">
        <v>848</v>
      </c>
      <c r="B465" s="456" t="s">
        <v>2041</v>
      </c>
      <c r="C465" s="456" t="s">
        <v>779</v>
      </c>
      <c r="D465" s="456" t="s">
        <v>1220</v>
      </c>
      <c r="E465" s="456" t="s">
        <v>2042</v>
      </c>
      <c r="F465" s="457" t="s">
        <v>2043</v>
      </c>
      <c r="G465" s="458">
        <v>-176388.3</v>
      </c>
      <c r="H465" s="461">
        <v>0</v>
      </c>
      <c r="I465" s="458">
        <v>-176388.3</v>
      </c>
      <c r="J465" s="456" t="s">
        <v>299</v>
      </c>
      <c r="K465" s="456" t="s">
        <v>778</v>
      </c>
      <c r="L465" s="456" t="s">
        <v>164</v>
      </c>
    </row>
    <row r="466" spans="1:12" x14ac:dyDescent="0.2">
      <c r="A466" s="456" t="s">
        <v>848</v>
      </c>
      <c r="B466" s="456" t="s">
        <v>2041</v>
      </c>
      <c r="C466" s="456" t="s">
        <v>780</v>
      </c>
      <c r="D466" s="456" t="s">
        <v>1220</v>
      </c>
      <c r="E466" s="456" t="s">
        <v>2044</v>
      </c>
      <c r="F466" s="457" t="s">
        <v>2045</v>
      </c>
      <c r="G466" s="458">
        <v>-6023945</v>
      </c>
      <c r="H466" s="458">
        <v>-5689289.6799999997</v>
      </c>
      <c r="I466" s="458">
        <v>-334655.32</v>
      </c>
      <c r="J466" s="456" t="s">
        <v>2046</v>
      </c>
      <c r="K466" s="456" t="s">
        <v>778</v>
      </c>
      <c r="L466" s="456" t="s">
        <v>164</v>
      </c>
    </row>
    <row r="467" spans="1:12" x14ac:dyDescent="0.2">
      <c r="A467" s="456" t="s">
        <v>848</v>
      </c>
      <c r="B467" s="456" t="s">
        <v>2041</v>
      </c>
      <c r="C467" s="456" t="s">
        <v>779</v>
      </c>
      <c r="D467" s="456" t="s">
        <v>1220</v>
      </c>
      <c r="E467" s="456" t="s">
        <v>2047</v>
      </c>
      <c r="F467" s="457" t="s">
        <v>2048</v>
      </c>
      <c r="G467" s="461">
        <v>0.03</v>
      </c>
      <c r="H467" s="458">
        <v>-14478.64</v>
      </c>
      <c r="I467" s="458">
        <v>14478.67</v>
      </c>
      <c r="J467" s="456" t="s">
        <v>810</v>
      </c>
      <c r="K467" s="456" t="s">
        <v>778</v>
      </c>
      <c r="L467" s="456" t="s">
        <v>164</v>
      </c>
    </row>
    <row r="468" spans="1:12" x14ac:dyDescent="0.2">
      <c r="A468" s="456" t="s">
        <v>848</v>
      </c>
      <c r="B468" s="456" t="s">
        <v>2041</v>
      </c>
      <c r="C468" s="456" t="s">
        <v>779</v>
      </c>
      <c r="D468" s="456" t="s">
        <v>784</v>
      </c>
      <c r="E468" s="456" t="s">
        <v>2049</v>
      </c>
      <c r="F468" s="457" t="s">
        <v>2050</v>
      </c>
      <c r="G468" s="458">
        <v>-256315.61</v>
      </c>
      <c r="H468" s="458">
        <v>-593871.16</v>
      </c>
      <c r="I468" s="458">
        <v>337555.55</v>
      </c>
      <c r="J468" s="456" t="s">
        <v>2051</v>
      </c>
      <c r="K468" s="456" t="s">
        <v>778</v>
      </c>
      <c r="L468" s="456" t="s">
        <v>164</v>
      </c>
    </row>
    <row r="469" spans="1:12" x14ac:dyDescent="0.2">
      <c r="A469" s="456" t="s">
        <v>848</v>
      </c>
      <c r="B469" s="456" t="s">
        <v>2041</v>
      </c>
      <c r="C469" s="456" t="s">
        <v>779</v>
      </c>
      <c r="D469" s="456" t="s">
        <v>784</v>
      </c>
      <c r="E469" s="456" t="s">
        <v>2052</v>
      </c>
      <c r="F469" s="457" t="s">
        <v>2053</v>
      </c>
      <c r="G469" s="458">
        <v>5095.8599999999997</v>
      </c>
      <c r="H469" s="458">
        <v>-17969.810000000001</v>
      </c>
      <c r="I469" s="458">
        <v>23065.67</v>
      </c>
      <c r="J469" s="456" t="s">
        <v>2054</v>
      </c>
      <c r="K469" s="456" t="s">
        <v>778</v>
      </c>
      <c r="L469" s="456" t="s">
        <v>164</v>
      </c>
    </row>
    <row r="470" spans="1:12" x14ac:dyDescent="0.2">
      <c r="A470" s="459" t="s">
        <v>1162</v>
      </c>
      <c r="B470" s="459" t="s">
        <v>2041</v>
      </c>
      <c r="C470" s="459" t="s">
        <v>299</v>
      </c>
      <c r="D470" s="459" t="s">
        <v>299</v>
      </c>
      <c r="E470" s="459" t="s">
        <v>299</v>
      </c>
      <c r="F470" s="457" t="s">
        <v>2055</v>
      </c>
      <c r="G470" s="460">
        <v>-6451553.0199999996</v>
      </c>
      <c r="H470" s="460">
        <v>-6315609.29</v>
      </c>
      <c r="I470" s="460">
        <v>-135943.73000000001</v>
      </c>
      <c r="J470" s="459" t="s">
        <v>1845</v>
      </c>
      <c r="K470" s="459" t="s">
        <v>778</v>
      </c>
      <c r="L470" s="459" t="s">
        <v>164</v>
      </c>
    </row>
    <row r="471" spans="1:12" x14ac:dyDescent="0.2">
      <c r="A471" s="456" t="s">
        <v>848</v>
      </c>
      <c r="B471" s="456" t="s">
        <v>2056</v>
      </c>
      <c r="C471" s="456" t="s">
        <v>780</v>
      </c>
      <c r="D471" s="456" t="s">
        <v>780</v>
      </c>
      <c r="E471" s="456" t="s">
        <v>2057</v>
      </c>
      <c r="F471" s="457" t="s">
        <v>2058</v>
      </c>
      <c r="G471" s="458">
        <v>-10905780.289999999</v>
      </c>
      <c r="H471" s="458">
        <v>-2175245.9700000002</v>
      </c>
      <c r="I471" s="458">
        <v>-8730534.3200000003</v>
      </c>
      <c r="J471" s="456" t="s">
        <v>2059</v>
      </c>
      <c r="K471" s="456" t="s">
        <v>778</v>
      </c>
      <c r="L471" s="456" t="s">
        <v>164</v>
      </c>
    </row>
    <row r="472" spans="1:12" x14ac:dyDescent="0.2">
      <c r="A472" s="459" t="s">
        <v>1162</v>
      </c>
      <c r="B472" s="459" t="s">
        <v>2056</v>
      </c>
      <c r="C472" s="459" t="s">
        <v>299</v>
      </c>
      <c r="D472" s="459" t="s">
        <v>299</v>
      </c>
      <c r="E472" s="459" t="s">
        <v>299</v>
      </c>
      <c r="F472" s="457" t="s">
        <v>2060</v>
      </c>
      <c r="G472" s="460">
        <v>-10905780.289999999</v>
      </c>
      <c r="H472" s="460">
        <v>-2175245.9700000002</v>
      </c>
      <c r="I472" s="460">
        <v>-8730534.3200000003</v>
      </c>
      <c r="J472" s="459" t="s">
        <v>2059</v>
      </c>
      <c r="K472" s="459" t="s">
        <v>778</v>
      </c>
      <c r="L472" s="459" t="s">
        <v>164</v>
      </c>
    </row>
    <row r="473" spans="1:12" x14ac:dyDescent="0.2">
      <c r="A473" s="459" t="s">
        <v>2001</v>
      </c>
      <c r="B473" s="459" t="s">
        <v>2061</v>
      </c>
      <c r="C473" s="459" t="s">
        <v>299</v>
      </c>
      <c r="D473" s="459" t="s">
        <v>299</v>
      </c>
      <c r="E473" s="459" t="s">
        <v>299</v>
      </c>
      <c r="F473" s="457" t="s">
        <v>2062</v>
      </c>
      <c r="G473" s="460">
        <v>-17357333.309999999</v>
      </c>
      <c r="H473" s="460">
        <v>-8490855.2599999998</v>
      </c>
      <c r="I473" s="460">
        <v>-8866478.0500000007</v>
      </c>
      <c r="J473" s="459" t="s">
        <v>2063</v>
      </c>
      <c r="K473" s="459" t="s">
        <v>778</v>
      </c>
      <c r="L473" s="459" t="s">
        <v>164</v>
      </c>
    </row>
    <row r="474" spans="1:12" x14ac:dyDescent="0.2">
      <c r="A474" s="456" t="s">
        <v>848</v>
      </c>
      <c r="B474" s="456" t="s">
        <v>2064</v>
      </c>
      <c r="C474" s="456" t="s">
        <v>779</v>
      </c>
      <c r="D474" s="456" t="s">
        <v>1220</v>
      </c>
      <c r="E474" s="456" t="s">
        <v>2065</v>
      </c>
      <c r="F474" s="457" t="s">
        <v>2066</v>
      </c>
      <c r="G474" s="458">
        <v>17754421.609999999</v>
      </c>
      <c r="H474" s="458">
        <v>17248475.25</v>
      </c>
      <c r="I474" s="458">
        <v>505946.36</v>
      </c>
      <c r="J474" s="456" t="s">
        <v>2067</v>
      </c>
      <c r="K474" s="456" t="s">
        <v>778</v>
      </c>
      <c r="L474" s="456" t="s">
        <v>164</v>
      </c>
    </row>
    <row r="475" spans="1:12" x14ac:dyDescent="0.2">
      <c r="A475" s="456" t="s">
        <v>848</v>
      </c>
      <c r="B475" s="456" t="s">
        <v>2064</v>
      </c>
      <c r="C475" s="456" t="s">
        <v>779</v>
      </c>
      <c r="D475" s="456" t="s">
        <v>780</v>
      </c>
      <c r="E475" s="456" t="s">
        <v>2068</v>
      </c>
      <c r="F475" s="457" t="s">
        <v>2069</v>
      </c>
      <c r="G475" s="458">
        <v>355748.61</v>
      </c>
      <c r="H475" s="461">
        <v>0</v>
      </c>
      <c r="I475" s="458">
        <v>355748.61</v>
      </c>
      <c r="J475" s="456" t="s">
        <v>299</v>
      </c>
      <c r="K475" s="456" t="s">
        <v>778</v>
      </c>
      <c r="L475" s="456" t="s">
        <v>164</v>
      </c>
    </row>
    <row r="476" spans="1:12" x14ac:dyDescent="0.2">
      <c r="A476" s="456" t="s">
        <v>848</v>
      </c>
      <c r="B476" s="456" t="s">
        <v>2064</v>
      </c>
      <c r="C476" s="456" t="s">
        <v>780</v>
      </c>
      <c r="D476" s="456" t="s">
        <v>780</v>
      </c>
      <c r="E476" s="456" t="s">
        <v>2070</v>
      </c>
      <c r="F476" s="457" t="s">
        <v>2071</v>
      </c>
      <c r="G476" s="458">
        <v>1961288.06</v>
      </c>
      <c r="H476" s="458">
        <v>4873654.84</v>
      </c>
      <c r="I476" s="458">
        <v>-2912366.78</v>
      </c>
      <c r="J476" s="456" t="s">
        <v>2072</v>
      </c>
      <c r="K476" s="456" t="s">
        <v>778</v>
      </c>
      <c r="L476" s="456" t="s">
        <v>164</v>
      </c>
    </row>
    <row r="477" spans="1:12" x14ac:dyDescent="0.2">
      <c r="A477" s="456" t="s">
        <v>848</v>
      </c>
      <c r="B477" s="456" t="s">
        <v>2064</v>
      </c>
      <c r="C477" s="456" t="s">
        <v>779</v>
      </c>
      <c r="D477" s="456" t="s">
        <v>1220</v>
      </c>
      <c r="E477" s="456" t="s">
        <v>2073</v>
      </c>
      <c r="F477" s="457" t="s">
        <v>2074</v>
      </c>
      <c r="G477" s="458">
        <v>8061525.7300000004</v>
      </c>
      <c r="H477" s="458">
        <v>31374634.57</v>
      </c>
      <c r="I477" s="458">
        <v>-23313108.84</v>
      </c>
      <c r="J477" s="456" t="s">
        <v>2075</v>
      </c>
      <c r="K477" s="456" t="s">
        <v>778</v>
      </c>
      <c r="L477" s="456" t="s">
        <v>164</v>
      </c>
    </row>
    <row r="478" spans="1:12" x14ac:dyDescent="0.2">
      <c r="A478" s="459" t="s">
        <v>1162</v>
      </c>
      <c r="B478" s="459" t="s">
        <v>2064</v>
      </c>
      <c r="C478" s="459" t="s">
        <v>299</v>
      </c>
      <c r="D478" s="459" t="s">
        <v>299</v>
      </c>
      <c r="E478" s="459" t="s">
        <v>299</v>
      </c>
      <c r="F478" s="457" t="s">
        <v>2076</v>
      </c>
      <c r="G478" s="460">
        <v>28132984.010000002</v>
      </c>
      <c r="H478" s="460">
        <v>53496764.659999996</v>
      </c>
      <c r="I478" s="460">
        <v>-25363780.649999999</v>
      </c>
      <c r="J478" s="459" t="s">
        <v>1519</v>
      </c>
      <c r="K478" s="459" t="s">
        <v>778</v>
      </c>
      <c r="L478" s="459" t="s">
        <v>164</v>
      </c>
    </row>
    <row r="479" spans="1:12" x14ac:dyDescent="0.2">
      <c r="A479" s="456" t="s">
        <v>848</v>
      </c>
      <c r="B479" s="456" t="s">
        <v>2077</v>
      </c>
      <c r="C479" s="456" t="s">
        <v>780</v>
      </c>
      <c r="D479" s="456" t="s">
        <v>780</v>
      </c>
      <c r="E479" s="456" t="s">
        <v>2078</v>
      </c>
      <c r="F479" s="457" t="s">
        <v>2079</v>
      </c>
      <c r="G479" s="458">
        <v>408155.14</v>
      </c>
      <c r="H479" s="458">
        <v>338850.67</v>
      </c>
      <c r="I479" s="458">
        <v>69304.47</v>
      </c>
      <c r="J479" s="456" t="s">
        <v>2080</v>
      </c>
      <c r="K479" s="456" t="s">
        <v>778</v>
      </c>
      <c r="L479" s="456" t="s">
        <v>164</v>
      </c>
    </row>
    <row r="480" spans="1:12" x14ac:dyDescent="0.2">
      <c r="A480" s="456" t="s">
        <v>848</v>
      </c>
      <c r="B480" s="456" t="s">
        <v>2077</v>
      </c>
      <c r="C480" s="456" t="s">
        <v>780</v>
      </c>
      <c r="D480" s="456" t="s">
        <v>780</v>
      </c>
      <c r="E480" s="456" t="s">
        <v>2081</v>
      </c>
      <c r="F480" s="457" t="s">
        <v>2082</v>
      </c>
      <c r="G480" s="458">
        <v>1525.03</v>
      </c>
      <c r="H480" s="458">
        <v>-1525.03</v>
      </c>
      <c r="I480" s="458">
        <v>3050.06</v>
      </c>
      <c r="J480" s="456" t="s">
        <v>1131</v>
      </c>
      <c r="K480" s="456" t="s">
        <v>778</v>
      </c>
      <c r="L480" s="456" t="s">
        <v>164</v>
      </c>
    </row>
    <row r="481" spans="1:12" x14ac:dyDescent="0.2">
      <c r="A481" s="459" t="s">
        <v>1162</v>
      </c>
      <c r="B481" s="459" t="s">
        <v>2077</v>
      </c>
      <c r="C481" s="459" t="s">
        <v>299</v>
      </c>
      <c r="D481" s="459" t="s">
        <v>299</v>
      </c>
      <c r="E481" s="459" t="s">
        <v>299</v>
      </c>
      <c r="F481" s="457" t="s">
        <v>2083</v>
      </c>
      <c r="G481" s="460">
        <v>409680.17</v>
      </c>
      <c r="H481" s="460">
        <v>337325.64</v>
      </c>
      <c r="I481" s="460">
        <v>72354.53</v>
      </c>
      <c r="J481" s="459" t="s">
        <v>2084</v>
      </c>
      <c r="K481" s="459" t="s">
        <v>778</v>
      </c>
      <c r="L481" s="459" t="s">
        <v>164</v>
      </c>
    </row>
    <row r="482" spans="1:12" x14ac:dyDescent="0.2">
      <c r="A482" s="456" t="s">
        <v>848</v>
      </c>
      <c r="B482" s="456" t="s">
        <v>2085</v>
      </c>
      <c r="C482" s="456" t="s">
        <v>779</v>
      </c>
      <c r="D482" s="456" t="s">
        <v>780</v>
      </c>
      <c r="E482" s="456" t="s">
        <v>2086</v>
      </c>
      <c r="F482" s="457" t="s">
        <v>2087</v>
      </c>
      <c r="G482" s="458">
        <v>2343715.41</v>
      </c>
      <c r="H482" s="458">
        <v>-1931315.91</v>
      </c>
      <c r="I482" s="458">
        <v>4275031.32</v>
      </c>
      <c r="J482" s="456" t="s">
        <v>2088</v>
      </c>
      <c r="K482" s="456" t="s">
        <v>778</v>
      </c>
      <c r="L482" s="456" t="s">
        <v>164</v>
      </c>
    </row>
    <row r="483" spans="1:12" x14ac:dyDescent="0.2">
      <c r="A483" s="459" t="s">
        <v>1162</v>
      </c>
      <c r="B483" s="459" t="s">
        <v>2085</v>
      </c>
      <c r="C483" s="459" t="s">
        <v>299</v>
      </c>
      <c r="D483" s="459" t="s">
        <v>299</v>
      </c>
      <c r="E483" s="459" t="s">
        <v>299</v>
      </c>
      <c r="F483" s="457" t="s">
        <v>2089</v>
      </c>
      <c r="G483" s="460">
        <v>2343715.41</v>
      </c>
      <c r="H483" s="460">
        <v>-1931315.91</v>
      </c>
      <c r="I483" s="460">
        <v>4275031.32</v>
      </c>
      <c r="J483" s="459" t="s">
        <v>2088</v>
      </c>
      <c r="K483" s="459" t="s">
        <v>778</v>
      </c>
      <c r="L483" s="459" t="s">
        <v>164</v>
      </c>
    </row>
    <row r="484" spans="1:12" x14ac:dyDescent="0.2">
      <c r="A484" s="459" t="s">
        <v>2001</v>
      </c>
      <c r="B484" s="459" t="s">
        <v>2090</v>
      </c>
      <c r="C484" s="459" t="s">
        <v>299</v>
      </c>
      <c r="D484" s="459" t="s">
        <v>299</v>
      </c>
      <c r="E484" s="459" t="s">
        <v>299</v>
      </c>
      <c r="F484" s="457" t="s">
        <v>2091</v>
      </c>
      <c r="G484" s="460">
        <v>30886379.59</v>
      </c>
      <c r="H484" s="460">
        <v>51902774.390000001</v>
      </c>
      <c r="I484" s="460">
        <v>-21016394.800000001</v>
      </c>
      <c r="J484" s="459" t="s">
        <v>2092</v>
      </c>
      <c r="K484" s="459" t="s">
        <v>778</v>
      </c>
      <c r="L484" s="459" t="s">
        <v>164</v>
      </c>
    </row>
    <row r="485" spans="1:12" x14ac:dyDescent="0.2">
      <c r="A485" s="459" t="s">
        <v>2027</v>
      </c>
      <c r="B485" s="459" t="s">
        <v>2093</v>
      </c>
      <c r="C485" s="459" t="s">
        <v>299</v>
      </c>
      <c r="D485" s="459" t="s">
        <v>299</v>
      </c>
      <c r="E485" s="459" t="s">
        <v>299</v>
      </c>
      <c r="F485" s="457" t="s">
        <v>2094</v>
      </c>
      <c r="G485" s="460">
        <v>13529046.279999999</v>
      </c>
      <c r="H485" s="460">
        <v>43411919.130000003</v>
      </c>
      <c r="I485" s="460">
        <v>-29882872.850000001</v>
      </c>
      <c r="J485" s="459" t="s">
        <v>1285</v>
      </c>
      <c r="K485" s="459" t="s">
        <v>778</v>
      </c>
      <c r="L485" s="459" t="s">
        <v>164</v>
      </c>
    </row>
    <row r="486" spans="1:12" x14ac:dyDescent="0.2">
      <c r="A486" s="456" t="s">
        <v>1162</v>
      </c>
      <c r="B486" s="456" t="s">
        <v>2095</v>
      </c>
      <c r="C486" s="456" t="s">
        <v>780</v>
      </c>
      <c r="D486" s="456" t="s">
        <v>780</v>
      </c>
      <c r="E486" s="456" t="s">
        <v>2096</v>
      </c>
      <c r="F486" s="457" t="s">
        <v>2097</v>
      </c>
      <c r="G486" s="458">
        <v>80014673.329999998</v>
      </c>
      <c r="H486" s="458">
        <v>17234481.640000001</v>
      </c>
      <c r="I486" s="458">
        <v>62780191.689999998</v>
      </c>
      <c r="J486" s="456" t="s">
        <v>2098</v>
      </c>
      <c r="K486" s="456" t="s">
        <v>778</v>
      </c>
      <c r="L486" s="456" t="s">
        <v>164</v>
      </c>
    </row>
    <row r="487" spans="1:12" x14ac:dyDescent="0.2">
      <c r="A487" s="459" t="s">
        <v>2001</v>
      </c>
      <c r="B487" s="459" t="s">
        <v>2095</v>
      </c>
      <c r="C487" s="459" t="s">
        <v>299</v>
      </c>
      <c r="D487" s="459" t="s">
        <v>299</v>
      </c>
      <c r="E487" s="459" t="s">
        <v>299</v>
      </c>
      <c r="F487" s="457" t="s">
        <v>2099</v>
      </c>
      <c r="G487" s="460">
        <v>80014673.329999998</v>
      </c>
      <c r="H487" s="460">
        <v>17234481.640000001</v>
      </c>
      <c r="I487" s="460">
        <v>62780191.689999998</v>
      </c>
      <c r="J487" s="459" t="s">
        <v>2098</v>
      </c>
      <c r="K487" s="459" t="s">
        <v>778</v>
      </c>
      <c r="L487" s="459" t="s">
        <v>164</v>
      </c>
    </row>
    <row r="488" spans="1:12" x14ac:dyDescent="0.2">
      <c r="A488" s="456" t="s">
        <v>1162</v>
      </c>
      <c r="B488" s="456" t="s">
        <v>2100</v>
      </c>
      <c r="C488" s="456" t="s">
        <v>780</v>
      </c>
      <c r="D488" s="456" t="s">
        <v>780</v>
      </c>
      <c r="E488" s="456" t="s">
        <v>2101</v>
      </c>
      <c r="F488" s="457" t="s">
        <v>252</v>
      </c>
      <c r="G488" s="458">
        <v>-24004402</v>
      </c>
      <c r="H488" s="458">
        <v>-5170344.49</v>
      </c>
      <c r="I488" s="458">
        <v>-18834057.510000002</v>
      </c>
      <c r="J488" s="456" t="s">
        <v>2102</v>
      </c>
      <c r="K488" s="456" t="s">
        <v>778</v>
      </c>
      <c r="L488" s="456" t="s">
        <v>164</v>
      </c>
    </row>
    <row r="489" spans="1:12" x14ac:dyDescent="0.2">
      <c r="A489" s="459" t="s">
        <v>2001</v>
      </c>
      <c r="B489" s="459" t="s">
        <v>2100</v>
      </c>
      <c r="C489" s="459" t="s">
        <v>299</v>
      </c>
      <c r="D489" s="459" t="s">
        <v>299</v>
      </c>
      <c r="E489" s="459" t="s">
        <v>299</v>
      </c>
      <c r="F489" s="457" t="s">
        <v>2103</v>
      </c>
      <c r="G489" s="460">
        <v>-24004402</v>
      </c>
      <c r="H489" s="460">
        <v>-5170344.49</v>
      </c>
      <c r="I489" s="460">
        <v>-18834057.510000002</v>
      </c>
      <c r="J489" s="459" t="s">
        <v>2102</v>
      </c>
      <c r="K489" s="459" t="s">
        <v>778</v>
      </c>
      <c r="L489" s="459" t="s">
        <v>164</v>
      </c>
    </row>
    <row r="490" spans="1:12" x14ac:dyDescent="0.2">
      <c r="A490" s="459" t="s">
        <v>2027</v>
      </c>
      <c r="B490" s="459" t="s">
        <v>2104</v>
      </c>
      <c r="C490" s="459" t="s">
        <v>299</v>
      </c>
      <c r="D490" s="459" t="s">
        <v>299</v>
      </c>
      <c r="E490" s="459" t="s">
        <v>299</v>
      </c>
      <c r="F490" s="457" t="s">
        <v>2105</v>
      </c>
      <c r="G490" s="460">
        <v>56010271.329999998</v>
      </c>
      <c r="H490" s="460">
        <v>12064137.15</v>
      </c>
      <c r="I490" s="460">
        <v>43946134.18</v>
      </c>
      <c r="J490" s="459" t="s">
        <v>2098</v>
      </c>
      <c r="K490" s="459" t="s">
        <v>778</v>
      </c>
      <c r="L490" s="459" t="s">
        <v>164</v>
      </c>
    </row>
    <row r="491" spans="1:12" x14ac:dyDescent="0.2">
      <c r="A491" s="459" t="s">
        <v>2106</v>
      </c>
      <c r="B491" s="459" t="s">
        <v>2107</v>
      </c>
      <c r="C491" s="459" t="s">
        <v>299</v>
      </c>
      <c r="D491" s="459" t="s">
        <v>299</v>
      </c>
      <c r="E491" s="459" t="s">
        <v>299</v>
      </c>
      <c r="F491" s="457" t="s">
        <v>2108</v>
      </c>
      <c r="G491" s="460">
        <v>-44302518.479999997</v>
      </c>
      <c r="H491" s="460">
        <v>-605199407.27999997</v>
      </c>
      <c r="I491" s="460">
        <v>560896888.79999995</v>
      </c>
      <c r="J491" s="459" t="s">
        <v>2109</v>
      </c>
      <c r="K491" s="459" t="s">
        <v>778</v>
      </c>
      <c r="L491" s="459" t="s">
        <v>164</v>
      </c>
    </row>
    <row r="492" spans="1:12" x14ac:dyDescent="0.2">
      <c r="A492" s="459" t="s">
        <v>2110</v>
      </c>
      <c r="B492" s="459" t="s">
        <v>2111</v>
      </c>
      <c r="C492" s="459" t="s">
        <v>299</v>
      </c>
      <c r="D492" s="459" t="s">
        <v>299</v>
      </c>
      <c r="E492" s="459" t="s">
        <v>299</v>
      </c>
      <c r="F492" s="457" t="s">
        <v>2112</v>
      </c>
      <c r="G492" s="460">
        <v>-44302518.479999997</v>
      </c>
      <c r="H492" s="460">
        <v>-605199407.27999997</v>
      </c>
      <c r="I492" s="460">
        <v>560896888.79999995</v>
      </c>
      <c r="J492" s="459" t="s">
        <v>2109</v>
      </c>
      <c r="K492" s="459" t="s">
        <v>778</v>
      </c>
      <c r="L492" s="459" t="s">
        <v>164</v>
      </c>
    </row>
    <row r="493" spans="1:12" x14ac:dyDescent="0.2">
      <c r="A493" s="459" t="s">
        <v>2113</v>
      </c>
      <c r="B493" s="459" t="s">
        <v>2114</v>
      </c>
      <c r="C493" s="459" t="s">
        <v>299</v>
      </c>
      <c r="D493" s="459" t="s">
        <v>299</v>
      </c>
      <c r="E493" s="459" t="s">
        <v>299</v>
      </c>
      <c r="F493" s="457" t="s">
        <v>2115</v>
      </c>
      <c r="G493" s="460">
        <v>-44302518.479999997</v>
      </c>
      <c r="H493" s="460">
        <v>-605199407.27999997</v>
      </c>
      <c r="I493" s="460">
        <v>560896888.79999995</v>
      </c>
      <c r="J493" s="459" t="s">
        <v>2109</v>
      </c>
      <c r="K493" s="459" t="s">
        <v>778</v>
      </c>
      <c r="L493" s="459" t="s">
        <v>164</v>
      </c>
    </row>
    <row r="494" spans="1:12" x14ac:dyDescent="0.2">
      <c r="A494" s="456" t="s">
        <v>794</v>
      </c>
      <c r="B494" s="456" t="s">
        <v>2116</v>
      </c>
      <c r="C494" s="456" t="s">
        <v>779</v>
      </c>
      <c r="D494" s="456" t="s">
        <v>780</v>
      </c>
      <c r="E494" s="456" t="s">
        <v>2117</v>
      </c>
      <c r="F494" s="457" t="s">
        <v>2118</v>
      </c>
      <c r="G494" s="458">
        <v>21000</v>
      </c>
      <c r="H494" s="458">
        <v>21000</v>
      </c>
      <c r="I494" s="461">
        <v>0</v>
      </c>
      <c r="J494" s="456" t="s">
        <v>1484</v>
      </c>
      <c r="K494" s="456" t="s">
        <v>778</v>
      </c>
      <c r="L494" s="456" t="s">
        <v>164</v>
      </c>
    </row>
    <row r="495" spans="1:12" x14ac:dyDescent="0.2">
      <c r="A495" s="459" t="s">
        <v>848</v>
      </c>
      <c r="B495" s="459" t="s">
        <v>2116</v>
      </c>
      <c r="C495" s="459" t="s">
        <v>299</v>
      </c>
      <c r="D495" s="459" t="s">
        <v>299</v>
      </c>
      <c r="E495" s="459" t="s">
        <v>299</v>
      </c>
      <c r="F495" s="457" t="s">
        <v>2119</v>
      </c>
      <c r="G495" s="460">
        <v>21000</v>
      </c>
      <c r="H495" s="460">
        <v>21000</v>
      </c>
      <c r="I495" s="462">
        <v>0</v>
      </c>
      <c r="J495" s="459" t="s">
        <v>1484</v>
      </c>
      <c r="K495" s="459" t="s">
        <v>778</v>
      </c>
      <c r="L495" s="459" t="s">
        <v>164</v>
      </c>
    </row>
    <row r="496" spans="1:12" x14ac:dyDescent="0.2">
      <c r="A496" s="456" t="s">
        <v>794</v>
      </c>
      <c r="B496" s="456" t="s">
        <v>2120</v>
      </c>
      <c r="C496" s="456" t="s">
        <v>779</v>
      </c>
      <c r="D496" s="456" t="s">
        <v>1220</v>
      </c>
      <c r="E496" s="456" t="s">
        <v>2121</v>
      </c>
      <c r="F496" s="457" t="s">
        <v>2122</v>
      </c>
      <c r="G496" s="458">
        <v>1011457</v>
      </c>
      <c r="H496" s="458">
        <v>3931840.38</v>
      </c>
      <c r="I496" s="458">
        <v>-2920383.38</v>
      </c>
      <c r="J496" s="456" t="s">
        <v>2075</v>
      </c>
      <c r="K496" s="456" t="s">
        <v>778</v>
      </c>
      <c r="L496" s="456" t="s">
        <v>164</v>
      </c>
    </row>
    <row r="497" spans="1:12" x14ac:dyDescent="0.2">
      <c r="A497" s="456" t="s">
        <v>794</v>
      </c>
      <c r="B497" s="456" t="s">
        <v>2120</v>
      </c>
      <c r="C497" s="456" t="s">
        <v>779</v>
      </c>
      <c r="D497" s="456" t="s">
        <v>780</v>
      </c>
      <c r="E497" s="456" t="s">
        <v>2123</v>
      </c>
      <c r="F497" s="457" t="s">
        <v>2124</v>
      </c>
      <c r="G497" s="461">
        <v>108.81</v>
      </c>
      <c r="H497" s="461">
        <v>120.63</v>
      </c>
      <c r="I497" s="461">
        <v>-11.82</v>
      </c>
      <c r="J497" s="456" t="s">
        <v>2125</v>
      </c>
      <c r="K497" s="456" t="s">
        <v>778</v>
      </c>
      <c r="L497" s="456" t="s">
        <v>164</v>
      </c>
    </row>
    <row r="498" spans="1:12" x14ac:dyDescent="0.2">
      <c r="A498" s="456" t="s">
        <v>794</v>
      </c>
      <c r="B498" s="456" t="s">
        <v>2120</v>
      </c>
      <c r="C498" s="456" t="s">
        <v>779</v>
      </c>
      <c r="D498" s="456" t="s">
        <v>780</v>
      </c>
      <c r="E498" s="456" t="s">
        <v>2126</v>
      </c>
      <c r="F498" s="457" t="s">
        <v>2127</v>
      </c>
      <c r="G498" s="458">
        <v>-726639.19</v>
      </c>
      <c r="H498" s="458">
        <v>-2095339.96</v>
      </c>
      <c r="I498" s="458">
        <v>1368700.77</v>
      </c>
      <c r="J498" s="456" t="s">
        <v>2128</v>
      </c>
      <c r="K498" s="456" t="s">
        <v>778</v>
      </c>
      <c r="L498" s="456" t="s">
        <v>164</v>
      </c>
    </row>
    <row r="499" spans="1:12" x14ac:dyDescent="0.2">
      <c r="A499" s="456" t="s">
        <v>794</v>
      </c>
      <c r="B499" s="456" t="s">
        <v>2120</v>
      </c>
      <c r="C499" s="456" t="s">
        <v>779</v>
      </c>
      <c r="D499" s="456" t="s">
        <v>1220</v>
      </c>
      <c r="E499" s="456" t="s">
        <v>2129</v>
      </c>
      <c r="F499" s="457" t="s">
        <v>2130</v>
      </c>
      <c r="G499" s="461">
        <v>641.91</v>
      </c>
      <c r="H499" s="461">
        <v>0</v>
      </c>
      <c r="I499" s="461">
        <v>641.91</v>
      </c>
      <c r="J499" s="456" t="s">
        <v>299</v>
      </c>
      <c r="K499" s="456" t="s">
        <v>778</v>
      </c>
      <c r="L499" s="456" t="s">
        <v>164</v>
      </c>
    </row>
    <row r="500" spans="1:12" x14ac:dyDescent="0.2">
      <c r="A500" s="456" t="s">
        <v>794</v>
      </c>
      <c r="B500" s="456" t="s">
        <v>2120</v>
      </c>
      <c r="C500" s="456" t="s">
        <v>779</v>
      </c>
      <c r="D500" s="456" t="s">
        <v>1220</v>
      </c>
      <c r="E500" s="456" t="s">
        <v>2131</v>
      </c>
      <c r="F500" s="457" t="s">
        <v>2132</v>
      </c>
      <c r="G500" s="458">
        <v>3468179.09</v>
      </c>
      <c r="H500" s="458">
        <v>138979637.06999999</v>
      </c>
      <c r="I500" s="458">
        <v>-135511457.97999999</v>
      </c>
      <c r="J500" s="456" t="s">
        <v>2133</v>
      </c>
      <c r="K500" s="456" t="s">
        <v>778</v>
      </c>
      <c r="L500" s="456" t="s">
        <v>164</v>
      </c>
    </row>
    <row r="501" spans="1:12" x14ac:dyDescent="0.2">
      <c r="A501" s="456" t="s">
        <v>794</v>
      </c>
      <c r="B501" s="456" t="s">
        <v>2120</v>
      </c>
      <c r="C501" s="456" t="s">
        <v>780</v>
      </c>
      <c r="D501" s="456" t="s">
        <v>780</v>
      </c>
      <c r="E501" s="456" t="s">
        <v>2134</v>
      </c>
      <c r="F501" s="457" t="s">
        <v>2135</v>
      </c>
      <c r="G501" s="458">
        <v>12572306.49</v>
      </c>
      <c r="H501" s="458">
        <v>11949691.1</v>
      </c>
      <c r="I501" s="458">
        <v>622615.39</v>
      </c>
      <c r="J501" s="456" t="s">
        <v>2136</v>
      </c>
      <c r="K501" s="456" t="s">
        <v>778</v>
      </c>
      <c r="L501" s="456" t="s">
        <v>164</v>
      </c>
    </row>
    <row r="502" spans="1:12" x14ac:dyDescent="0.2">
      <c r="A502" s="456" t="s">
        <v>794</v>
      </c>
      <c r="B502" s="456" t="s">
        <v>2120</v>
      </c>
      <c r="C502" s="456" t="s">
        <v>779</v>
      </c>
      <c r="D502" s="456" t="s">
        <v>780</v>
      </c>
      <c r="E502" s="456" t="s">
        <v>2137</v>
      </c>
      <c r="F502" s="457" t="s">
        <v>2138</v>
      </c>
      <c r="G502" s="461">
        <v>-641.91</v>
      </c>
      <c r="H502" s="461">
        <v>0</v>
      </c>
      <c r="I502" s="461">
        <v>-641.91</v>
      </c>
      <c r="J502" s="456" t="s">
        <v>299</v>
      </c>
      <c r="K502" s="456" t="s">
        <v>778</v>
      </c>
      <c r="L502" s="456" t="s">
        <v>164</v>
      </c>
    </row>
    <row r="503" spans="1:12" x14ac:dyDescent="0.2">
      <c r="A503" s="456" t="s">
        <v>794</v>
      </c>
      <c r="B503" s="456" t="s">
        <v>2120</v>
      </c>
      <c r="C503" s="456" t="s">
        <v>779</v>
      </c>
      <c r="D503" s="456" t="s">
        <v>780</v>
      </c>
      <c r="E503" s="456" t="s">
        <v>2139</v>
      </c>
      <c r="F503" s="457" t="s">
        <v>2140</v>
      </c>
      <c r="G503" s="458">
        <v>13003596.41</v>
      </c>
      <c r="H503" s="458">
        <v>19692727.550000001</v>
      </c>
      <c r="I503" s="458">
        <v>-6689131.1399999997</v>
      </c>
      <c r="J503" s="456" t="s">
        <v>2141</v>
      </c>
      <c r="K503" s="456" t="s">
        <v>778</v>
      </c>
      <c r="L503" s="456" t="s">
        <v>164</v>
      </c>
    </row>
    <row r="504" spans="1:12" x14ac:dyDescent="0.2">
      <c r="A504" s="456" t="s">
        <v>794</v>
      </c>
      <c r="B504" s="456" t="s">
        <v>2120</v>
      </c>
      <c r="C504" s="456" t="s">
        <v>779</v>
      </c>
      <c r="D504" s="456" t="s">
        <v>1220</v>
      </c>
      <c r="E504" s="456" t="s">
        <v>2142</v>
      </c>
      <c r="F504" s="457" t="s">
        <v>2143</v>
      </c>
      <c r="G504" s="458">
        <v>-2700136.69</v>
      </c>
      <c r="H504" s="458">
        <v>-136868220.41999999</v>
      </c>
      <c r="I504" s="458">
        <v>134168083.73</v>
      </c>
      <c r="J504" s="456" t="s">
        <v>2144</v>
      </c>
      <c r="K504" s="456" t="s">
        <v>778</v>
      </c>
      <c r="L504" s="456" t="s">
        <v>164</v>
      </c>
    </row>
    <row r="505" spans="1:12" x14ac:dyDescent="0.2">
      <c r="A505" s="456" t="s">
        <v>794</v>
      </c>
      <c r="B505" s="456" t="s">
        <v>2120</v>
      </c>
      <c r="C505" s="456" t="s">
        <v>779</v>
      </c>
      <c r="D505" s="456" t="s">
        <v>780</v>
      </c>
      <c r="E505" s="456" t="s">
        <v>2145</v>
      </c>
      <c r="F505" s="457" t="s">
        <v>2146</v>
      </c>
      <c r="G505" s="458">
        <v>-39133.300000000003</v>
      </c>
      <c r="H505" s="461">
        <v>0</v>
      </c>
      <c r="I505" s="458">
        <v>-39133.300000000003</v>
      </c>
      <c r="J505" s="456" t="s">
        <v>299</v>
      </c>
      <c r="K505" s="456" t="s">
        <v>778</v>
      </c>
      <c r="L505" s="456" t="s">
        <v>164</v>
      </c>
    </row>
    <row r="506" spans="1:12" x14ac:dyDescent="0.2">
      <c r="A506" s="456" t="s">
        <v>794</v>
      </c>
      <c r="B506" s="456" t="s">
        <v>2120</v>
      </c>
      <c r="C506" s="456" t="s">
        <v>779</v>
      </c>
      <c r="D506" s="456" t="s">
        <v>780</v>
      </c>
      <c r="E506" s="456" t="s">
        <v>2147</v>
      </c>
      <c r="F506" s="457" t="s">
        <v>2148</v>
      </c>
      <c r="G506" s="461">
        <v>0</v>
      </c>
      <c r="H506" s="458">
        <v>-16197.32</v>
      </c>
      <c r="I506" s="458">
        <v>16197.32</v>
      </c>
      <c r="J506" s="456" t="s">
        <v>810</v>
      </c>
      <c r="K506" s="456" t="s">
        <v>778</v>
      </c>
      <c r="L506" s="456" t="s">
        <v>164</v>
      </c>
    </row>
    <row r="507" spans="1:12" x14ac:dyDescent="0.2">
      <c r="A507" s="456" t="s">
        <v>794</v>
      </c>
      <c r="B507" s="456" t="s">
        <v>2120</v>
      </c>
      <c r="C507" s="456" t="s">
        <v>779</v>
      </c>
      <c r="D507" s="456" t="s">
        <v>780</v>
      </c>
      <c r="E507" s="456" t="s">
        <v>2149</v>
      </c>
      <c r="F507" s="457" t="s">
        <v>2150</v>
      </c>
      <c r="G507" s="458">
        <v>-2378.7199999999998</v>
      </c>
      <c r="H507" s="461">
        <v>0</v>
      </c>
      <c r="I507" s="458">
        <v>-2378.7199999999998</v>
      </c>
      <c r="J507" s="456" t="s">
        <v>299</v>
      </c>
      <c r="K507" s="456" t="s">
        <v>778</v>
      </c>
      <c r="L507" s="456" t="s">
        <v>164</v>
      </c>
    </row>
    <row r="508" spans="1:12" x14ac:dyDescent="0.2">
      <c r="A508" s="459" t="s">
        <v>848</v>
      </c>
      <c r="B508" s="459" t="s">
        <v>2120</v>
      </c>
      <c r="C508" s="459" t="s">
        <v>299</v>
      </c>
      <c r="D508" s="459" t="s">
        <v>299</v>
      </c>
      <c r="E508" s="459" t="s">
        <v>299</v>
      </c>
      <c r="F508" s="457" t="s">
        <v>2151</v>
      </c>
      <c r="G508" s="460">
        <v>26587359.899999999</v>
      </c>
      <c r="H508" s="460">
        <v>35574259.030000001</v>
      </c>
      <c r="I508" s="460">
        <v>-8986899.1300000008</v>
      </c>
      <c r="J508" s="459" t="s">
        <v>2152</v>
      </c>
      <c r="K508" s="459" t="s">
        <v>778</v>
      </c>
      <c r="L508" s="459" t="s">
        <v>164</v>
      </c>
    </row>
    <row r="509" spans="1:12" x14ac:dyDescent="0.2">
      <c r="A509" s="456" t="s">
        <v>794</v>
      </c>
      <c r="B509" s="456" t="s">
        <v>2153</v>
      </c>
      <c r="C509" s="456" t="s">
        <v>779</v>
      </c>
      <c r="D509" s="456" t="s">
        <v>1220</v>
      </c>
      <c r="E509" s="456" t="s">
        <v>2154</v>
      </c>
      <c r="F509" s="457" t="s">
        <v>2155</v>
      </c>
      <c r="G509" s="458">
        <v>404900000</v>
      </c>
      <c r="H509" s="458">
        <v>321600000</v>
      </c>
      <c r="I509" s="458">
        <v>83300000</v>
      </c>
      <c r="J509" s="456" t="s">
        <v>2156</v>
      </c>
      <c r="K509" s="456" t="s">
        <v>778</v>
      </c>
      <c r="L509" s="456" t="s">
        <v>164</v>
      </c>
    </row>
    <row r="510" spans="1:12" x14ac:dyDescent="0.2">
      <c r="A510" s="456" t="s">
        <v>794</v>
      </c>
      <c r="B510" s="456" t="s">
        <v>2153</v>
      </c>
      <c r="C510" s="456" t="s">
        <v>779</v>
      </c>
      <c r="D510" s="456" t="s">
        <v>1220</v>
      </c>
      <c r="E510" s="456" t="s">
        <v>2157</v>
      </c>
      <c r="F510" s="457" t="s">
        <v>2158</v>
      </c>
      <c r="G510" s="461">
        <v>0</v>
      </c>
      <c r="H510" s="458">
        <v>43509676.789999999</v>
      </c>
      <c r="I510" s="458">
        <v>-43509676.789999999</v>
      </c>
      <c r="J510" s="456" t="s">
        <v>826</v>
      </c>
      <c r="K510" s="456" t="s">
        <v>778</v>
      </c>
      <c r="L510" s="456" t="s">
        <v>164</v>
      </c>
    </row>
    <row r="511" spans="1:12" x14ac:dyDescent="0.2">
      <c r="A511" s="459" t="s">
        <v>848</v>
      </c>
      <c r="B511" s="459" t="s">
        <v>2153</v>
      </c>
      <c r="C511" s="459" t="s">
        <v>299</v>
      </c>
      <c r="D511" s="459" t="s">
        <v>299</v>
      </c>
      <c r="E511" s="459" t="s">
        <v>299</v>
      </c>
      <c r="F511" s="457" t="s">
        <v>2159</v>
      </c>
      <c r="G511" s="460">
        <v>404900000</v>
      </c>
      <c r="H511" s="460">
        <v>365109676.79000002</v>
      </c>
      <c r="I511" s="460">
        <v>39790323.210000001</v>
      </c>
      <c r="J511" s="459" t="s">
        <v>2160</v>
      </c>
      <c r="K511" s="459" t="s">
        <v>778</v>
      </c>
      <c r="L511" s="459" t="s">
        <v>164</v>
      </c>
    </row>
    <row r="512" spans="1:12" x14ac:dyDescent="0.2">
      <c r="A512" s="459" t="s">
        <v>1162</v>
      </c>
      <c r="B512" s="459" t="s">
        <v>2161</v>
      </c>
      <c r="C512" s="459" t="s">
        <v>299</v>
      </c>
      <c r="D512" s="459" t="s">
        <v>299</v>
      </c>
      <c r="E512" s="459" t="s">
        <v>299</v>
      </c>
      <c r="F512" s="457" t="s">
        <v>2162</v>
      </c>
      <c r="G512" s="460">
        <v>431508359.89999998</v>
      </c>
      <c r="H512" s="460">
        <v>400704935.81999999</v>
      </c>
      <c r="I512" s="460">
        <v>30803424.079999998</v>
      </c>
      <c r="J512" s="459" t="s">
        <v>2163</v>
      </c>
      <c r="K512" s="459" t="s">
        <v>778</v>
      </c>
      <c r="L512" s="459" t="s">
        <v>164</v>
      </c>
    </row>
    <row r="513" spans="1:12" x14ac:dyDescent="0.2">
      <c r="A513" s="459" t="s">
        <v>2001</v>
      </c>
      <c r="B513" s="459" t="s">
        <v>2164</v>
      </c>
      <c r="C513" s="459" t="s">
        <v>299</v>
      </c>
      <c r="D513" s="459" t="s">
        <v>299</v>
      </c>
      <c r="E513" s="459" t="s">
        <v>299</v>
      </c>
      <c r="F513" s="457" t="s">
        <v>2165</v>
      </c>
      <c r="G513" s="460">
        <v>431508359.89999998</v>
      </c>
      <c r="H513" s="460">
        <v>400704935.81999999</v>
      </c>
      <c r="I513" s="460">
        <v>30803424.079999998</v>
      </c>
      <c r="J513" s="459" t="s">
        <v>2163</v>
      </c>
      <c r="K513" s="459" t="s">
        <v>778</v>
      </c>
      <c r="L513" s="459" t="s">
        <v>164</v>
      </c>
    </row>
    <row r="514" spans="1:12" x14ac:dyDescent="0.2">
      <c r="A514" s="456" t="s">
        <v>794</v>
      </c>
      <c r="B514" s="456" t="s">
        <v>2166</v>
      </c>
      <c r="C514" s="456" t="s">
        <v>779</v>
      </c>
      <c r="D514" s="456" t="s">
        <v>780</v>
      </c>
      <c r="E514" s="456" t="s">
        <v>2167</v>
      </c>
      <c r="F514" s="457" t="s">
        <v>2168</v>
      </c>
      <c r="G514" s="458">
        <v>104778597.08</v>
      </c>
      <c r="H514" s="458">
        <v>363576178.69999999</v>
      </c>
      <c r="I514" s="458">
        <v>-258797581.62</v>
      </c>
      <c r="J514" s="456" t="s">
        <v>2169</v>
      </c>
      <c r="K514" s="456" t="s">
        <v>778</v>
      </c>
      <c r="L514" s="456" t="s">
        <v>164</v>
      </c>
    </row>
    <row r="515" spans="1:12" x14ac:dyDescent="0.2">
      <c r="A515" s="456" t="s">
        <v>794</v>
      </c>
      <c r="B515" s="456" t="s">
        <v>2166</v>
      </c>
      <c r="C515" s="456" t="s">
        <v>780</v>
      </c>
      <c r="D515" s="456" t="s">
        <v>780</v>
      </c>
      <c r="E515" s="456" t="s">
        <v>2170</v>
      </c>
      <c r="F515" s="457" t="s">
        <v>2171</v>
      </c>
      <c r="G515" s="458">
        <v>-7046172.79</v>
      </c>
      <c r="H515" s="458">
        <v>-144833064.50999999</v>
      </c>
      <c r="I515" s="458">
        <v>137786891.72</v>
      </c>
      <c r="J515" s="456" t="s">
        <v>2172</v>
      </c>
      <c r="K515" s="456" t="s">
        <v>778</v>
      </c>
      <c r="L515" s="456" t="s">
        <v>164</v>
      </c>
    </row>
    <row r="516" spans="1:12" x14ac:dyDescent="0.2">
      <c r="A516" s="456" t="s">
        <v>794</v>
      </c>
      <c r="B516" s="456" t="s">
        <v>2166</v>
      </c>
      <c r="C516" s="456" t="s">
        <v>779</v>
      </c>
      <c r="D516" s="456" t="s">
        <v>780</v>
      </c>
      <c r="E516" s="456" t="s">
        <v>2173</v>
      </c>
      <c r="F516" s="457" t="s">
        <v>2174</v>
      </c>
      <c r="G516" s="458">
        <v>-14245236.359999999</v>
      </c>
      <c r="H516" s="458">
        <v>-26792314.02</v>
      </c>
      <c r="I516" s="458">
        <v>12547077.66</v>
      </c>
      <c r="J516" s="456" t="s">
        <v>2175</v>
      </c>
      <c r="K516" s="456" t="s">
        <v>778</v>
      </c>
      <c r="L516" s="456" t="s">
        <v>164</v>
      </c>
    </row>
    <row r="517" spans="1:12" x14ac:dyDescent="0.2">
      <c r="A517" s="456" t="s">
        <v>794</v>
      </c>
      <c r="B517" s="456" t="s">
        <v>2166</v>
      </c>
      <c r="C517" s="456" t="s">
        <v>779</v>
      </c>
      <c r="D517" s="456" t="s">
        <v>780</v>
      </c>
      <c r="E517" s="456" t="s">
        <v>2176</v>
      </c>
      <c r="F517" s="457" t="s">
        <v>2177</v>
      </c>
      <c r="G517" s="458">
        <v>-18165747.899999999</v>
      </c>
      <c r="H517" s="458">
        <v>-29716426.699999999</v>
      </c>
      <c r="I517" s="458">
        <v>11550678.800000001</v>
      </c>
      <c r="J517" s="456" t="s">
        <v>2178</v>
      </c>
      <c r="K517" s="456" t="s">
        <v>778</v>
      </c>
      <c r="L517" s="456" t="s">
        <v>164</v>
      </c>
    </row>
    <row r="518" spans="1:12" x14ac:dyDescent="0.2">
      <c r="A518" s="456" t="s">
        <v>794</v>
      </c>
      <c r="B518" s="456" t="s">
        <v>2166</v>
      </c>
      <c r="C518" s="456" t="s">
        <v>779</v>
      </c>
      <c r="D518" s="456" t="s">
        <v>780</v>
      </c>
      <c r="E518" s="456" t="s">
        <v>2179</v>
      </c>
      <c r="F518" s="457" t="s">
        <v>2180</v>
      </c>
      <c r="G518" s="458">
        <v>-29404597.530000001</v>
      </c>
      <c r="H518" s="458">
        <v>-9467105.4800000004</v>
      </c>
      <c r="I518" s="458">
        <v>-19937492.050000001</v>
      </c>
      <c r="J518" s="456" t="s">
        <v>2181</v>
      </c>
      <c r="K518" s="456" t="s">
        <v>778</v>
      </c>
      <c r="L518" s="456" t="s">
        <v>164</v>
      </c>
    </row>
    <row r="519" spans="1:12" x14ac:dyDescent="0.2">
      <c r="A519" s="456" t="s">
        <v>794</v>
      </c>
      <c r="B519" s="456" t="s">
        <v>2166</v>
      </c>
      <c r="C519" s="456" t="s">
        <v>779</v>
      </c>
      <c r="D519" s="456" t="s">
        <v>780</v>
      </c>
      <c r="E519" s="456" t="s">
        <v>2182</v>
      </c>
      <c r="F519" s="457" t="s">
        <v>2183</v>
      </c>
      <c r="G519" s="458">
        <v>47237839.079999998</v>
      </c>
      <c r="H519" s="458">
        <v>11007606.68</v>
      </c>
      <c r="I519" s="458">
        <v>36230232.399999999</v>
      </c>
      <c r="J519" s="456" t="s">
        <v>2184</v>
      </c>
      <c r="K519" s="456" t="s">
        <v>778</v>
      </c>
      <c r="L519" s="456" t="s">
        <v>164</v>
      </c>
    </row>
    <row r="520" spans="1:12" x14ac:dyDescent="0.2">
      <c r="A520" s="456" t="s">
        <v>794</v>
      </c>
      <c r="B520" s="456" t="s">
        <v>2166</v>
      </c>
      <c r="C520" s="456" t="s">
        <v>779</v>
      </c>
      <c r="D520" s="456" t="s">
        <v>780</v>
      </c>
      <c r="E520" s="456" t="s">
        <v>2185</v>
      </c>
      <c r="F520" s="457" t="s">
        <v>2186</v>
      </c>
      <c r="G520" s="458">
        <v>33413.440000000002</v>
      </c>
      <c r="H520" s="458">
        <v>21496.19</v>
      </c>
      <c r="I520" s="458">
        <v>11917.25</v>
      </c>
      <c r="J520" s="456" t="s">
        <v>2187</v>
      </c>
      <c r="K520" s="456" t="s">
        <v>778</v>
      </c>
      <c r="L520" s="456" t="s">
        <v>164</v>
      </c>
    </row>
    <row r="521" spans="1:12" x14ac:dyDescent="0.2">
      <c r="A521" s="459" t="s">
        <v>848</v>
      </c>
      <c r="B521" s="459" t="s">
        <v>2166</v>
      </c>
      <c r="C521" s="459" t="s">
        <v>299</v>
      </c>
      <c r="D521" s="459" t="s">
        <v>299</v>
      </c>
      <c r="E521" s="459" t="s">
        <v>299</v>
      </c>
      <c r="F521" s="457" t="s">
        <v>2188</v>
      </c>
      <c r="G521" s="460">
        <v>83188095.019999996</v>
      </c>
      <c r="H521" s="460">
        <v>163796370.86000001</v>
      </c>
      <c r="I521" s="460">
        <v>-80608275.840000004</v>
      </c>
      <c r="J521" s="459" t="s">
        <v>2189</v>
      </c>
      <c r="K521" s="459" t="s">
        <v>778</v>
      </c>
      <c r="L521" s="459" t="s">
        <v>164</v>
      </c>
    </row>
    <row r="522" spans="1:12" x14ac:dyDescent="0.2">
      <c r="A522" s="456" t="s">
        <v>794</v>
      </c>
      <c r="B522" s="456" t="s">
        <v>2190</v>
      </c>
      <c r="C522" s="456" t="s">
        <v>779</v>
      </c>
      <c r="D522" s="456" t="s">
        <v>780</v>
      </c>
      <c r="E522" s="456" t="s">
        <v>2191</v>
      </c>
      <c r="F522" s="457" t="s">
        <v>2192</v>
      </c>
      <c r="G522" s="458">
        <v>726040.69</v>
      </c>
      <c r="H522" s="458">
        <v>327771.61</v>
      </c>
      <c r="I522" s="458">
        <v>398269.08</v>
      </c>
      <c r="J522" s="456" t="s">
        <v>2193</v>
      </c>
      <c r="K522" s="456" t="s">
        <v>778</v>
      </c>
      <c r="L522" s="456" t="s">
        <v>164</v>
      </c>
    </row>
    <row r="523" spans="1:12" x14ac:dyDescent="0.2">
      <c r="A523" s="456" t="s">
        <v>794</v>
      </c>
      <c r="B523" s="456" t="s">
        <v>2190</v>
      </c>
      <c r="C523" s="456" t="s">
        <v>780</v>
      </c>
      <c r="D523" s="456" t="s">
        <v>780</v>
      </c>
      <c r="E523" s="456" t="s">
        <v>2194</v>
      </c>
      <c r="F523" s="457" t="s">
        <v>2195</v>
      </c>
      <c r="G523" s="458">
        <v>-4337384.88</v>
      </c>
      <c r="H523" s="458">
        <v>-112592.21</v>
      </c>
      <c r="I523" s="458">
        <v>-4224792.67</v>
      </c>
      <c r="J523" s="456" t="s">
        <v>2196</v>
      </c>
      <c r="K523" s="456" t="s">
        <v>778</v>
      </c>
      <c r="L523" s="456" t="s">
        <v>164</v>
      </c>
    </row>
    <row r="524" spans="1:12" x14ac:dyDescent="0.2">
      <c r="A524" s="456" t="s">
        <v>794</v>
      </c>
      <c r="B524" s="456" t="s">
        <v>2190</v>
      </c>
      <c r="C524" s="456" t="s">
        <v>779</v>
      </c>
      <c r="D524" s="456" t="s">
        <v>2197</v>
      </c>
      <c r="E524" s="456" t="s">
        <v>2198</v>
      </c>
      <c r="F524" s="457" t="s">
        <v>2199</v>
      </c>
      <c r="G524" s="458">
        <v>4337384.88</v>
      </c>
      <c r="H524" s="461">
        <v>0</v>
      </c>
      <c r="I524" s="458">
        <v>4337384.88</v>
      </c>
      <c r="J524" s="456" t="s">
        <v>299</v>
      </c>
      <c r="K524" s="456" t="s">
        <v>778</v>
      </c>
      <c r="L524" s="456" t="s">
        <v>164</v>
      </c>
    </row>
    <row r="525" spans="1:12" x14ac:dyDescent="0.2">
      <c r="A525" s="459" t="s">
        <v>848</v>
      </c>
      <c r="B525" s="459" t="s">
        <v>2190</v>
      </c>
      <c r="C525" s="459" t="s">
        <v>299</v>
      </c>
      <c r="D525" s="459" t="s">
        <v>299</v>
      </c>
      <c r="E525" s="459" t="s">
        <v>299</v>
      </c>
      <c r="F525" s="457" t="s">
        <v>2200</v>
      </c>
      <c r="G525" s="460">
        <v>726040.69</v>
      </c>
      <c r="H525" s="460">
        <v>215179.4</v>
      </c>
      <c r="I525" s="460">
        <v>510861.29</v>
      </c>
      <c r="J525" s="459" t="s">
        <v>2201</v>
      </c>
      <c r="K525" s="459" t="s">
        <v>778</v>
      </c>
      <c r="L525" s="459" t="s">
        <v>164</v>
      </c>
    </row>
    <row r="526" spans="1:12" x14ac:dyDescent="0.2">
      <c r="A526" s="456" t="s">
        <v>778</v>
      </c>
      <c r="B526" s="456" t="s">
        <v>2202</v>
      </c>
      <c r="C526" s="456" t="s">
        <v>779</v>
      </c>
      <c r="D526" s="456" t="s">
        <v>780</v>
      </c>
      <c r="E526" s="456" t="s">
        <v>2203</v>
      </c>
      <c r="F526" s="457" t="s">
        <v>2204</v>
      </c>
      <c r="G526" s="458">
        <v>-973515.15</v>
      </c>
      <c r="H526" s="458">
        <v>-1846934.9</v>
      </c>
      <c r="I526" s="458">
        <v>873419.75</v>
      </c>
      <c r="J526" s="456" t="s">
        <v>2205</v>
      </c>
      <c r="K526" s="456" t="s">
        <v>778</v>
      </c>
      <c r="L526" s="456" t="s">
        <v>164</v>
      </c>
    </row>
    <row r="527" spans="1:12" x14ac:dyDescent="0.2">
      <c r="A527" s="459" t="s">
        <v>794</v>
      </c>
      <c r="B527" s="459" t="s">
        <v>2202</v>
      </c>
      <c r="C527" s="459" t="s">
        <v>299</v>
      </c>
      <c r="D527" s="459" t="s">
        <v>299</v>
      </c>
      <c r="E527" s="459" t="s">
        <v>299</v>
      </c>
      <c r="F527" s="457" t="s">
        <v>2206</v>
      </c>
      <c r="G527" s="460">
        <v>-973515.15</v>
      </c>
      <c r="H527" s="460">
        <v>-1846934.9</v>
      </c>
      <c r="I527" s="460">
        <v>873419.75</v>
      </c>
      <c r="J527" s="459" t="s">
        <v>2205</v>
      </c>
      <c r="K527" s="459" t="s">
        <v>778</v>
      </c>
      <c r="L527" s="459" t="s">
        <v>164</v>
      </c>
    </row>
    <row r="528" spans="1:12" x14ac:dyDescent="0.2">
      <c r="A528" s="459" t="s">
        <v>848</v>
      </c>
      <c r="B528" s="459" t="s">
        <v>2207</v>
      </c>
      <c r="C528" s="459" t="s">
        <v>299</v>
      </c>
      <c r="D528" s="459" t="s">
        <v>299</v>
      </c>
      <c r="E528" s="459" t="s">
        <v>299</v>
      </c>
      <c r="F528" s="457" t="s">
        <v>2208</v>
      </c>
      <c r="G528" s="460">
        <v>-973515.15</v>
      </c>
      <c r="H528" s="460">
        <v>-1846934.9</v>
      </c>
      <c r="I528" s="460">
        <v>873419.75</v>
      </c>
      <c r="J528" s="459" t="s">
        <v>2205</v>
      </c>
      <c r="K528" s="459" t="s">
        <v>778</v>
      </c>
      <c r="L528" s="459" t="s">
        <v>164</v>
      </c>
    </row>
    <row r="529" spans="1:12" x14ac:dyDescent="0.2">
      <c r="A529" s="459" t="s">
        <v>1162</v>
      </c>
      <c r="B529" s="459" t="s">
        <v>2209</v>
      </c>
      <c r="C529" s="459" t="s">
        <v>299</v>
      </c>
      <c r="D529" s="459" t="s">
        <v>299</v>
      </c>
      <c r="E529" s="459" t="s">
        <v>299</v>
      </c>
      <c r="F529" s="457" t="s">
        <v>2210</v>
      </c>
      <c r="G529" s="460">
        <v>82940620.560000002</v>
      </c>
      <c r="H529" s="460">
        <v>162164615.36000001</v>
      </c>
      <c r="I529" s="460">
        <v>-79223994.799999997</v>
      </c>
      <c r="J529" s="459" t="s">
        <v>1270</v>
      </c>
      <c r="K529" s="459" t="s">
        <v>778</v>
      </c>
      <c r="L529" s="459" t="s">
        <v>164</v>
      </c>
    </row>
    <row r="530" spans="1:12" x14ac:dyDescent="0.2">
      <c r="A530" s="456" t="s">
        <v>794</v>
      </c>
      <c r="B530" s="456" t="s">
        <v>2211</v>
      </c>
      <c r="C530" s="456" t="s">
        <v>779</v>
      </c>
      <c r="D530" s="456" t="s">
        <v>780</v>
      </c>
      <c r="E530" s="456" t="s">
        <v>2212</v>
      </c>
      <c r="F530" s="457" t="s">
        <v>2213</v>
      </c>
      <c r="G530" s="458">
        <v>2246252.65</v>
      </c>
      <c r="H530" s="458">
        <v>3015690.37</v>
      </c>
      <c r="I530" s="458">
        <v>-769437.72</v>
      </c>
      <c r="J530" s="456" t="s">
        <v>2214</v>
      </c>
      <c r="K530" s="456" t="s">
        <v>778</v>
      </c>
      <c r="L530" s="456" t="s">
        <v>164</v>
      </c>
    </row>
    <row r="531" spans="1:12" x14ac:dyDescent="0.2">
      <c r="A531" s="456" t="s">
        <v>794</v>
      </c>
      <c r="B531" s="456" t="s">
        <v>2211</v>
      </c>
      <c r="C531" s="456" t="s">
        <v>780</v>
      </c>
      <c r="D531" s="456" t="s">
        <v>780</v>
      </c>
      <c r="E531" s="456" t="s">
        <v>2215</v>
      </c>
      <c r="F531" s="457" t="s">
        <v>2216</v>
      </c>
      <c r="G531" s="458">
        <v>-72639273.840000004</v>
      </c>
      <c r="H531" s="458">
        <v>22581363.390000001</v>
      </c>
      <c r="I531" s="458">
        <v>-95220637.230000004</v>
      </c>
      <c r="J531" s="456" t="s">
        <v>2217</v>
      </c>
      <c r="K531" s="456" t="s">
        <v>778</v>
      </c>
      <c r="L531" s="456" t="s">
        <v>164</v>
      </c>
    </row>
    <row r="532" spans="1:12" x14ac:dyDescent="0.2">
      <c r="A532" s="456" t="s">
        <v>794</v>
      </c>
      <c r="B532" s="456" t="s">
        <v>2211</v>
      </c>
      <c r="C532" s="456" t="s">
        <v>779</v>
      </c>
      <c r="D532" s="456" t="s">
        <v>780</v>
      </c>
      <c r="E532" s="456" t="s">
        <v>2218</v>
      </c>
      <c r="F532" s="457" t="s">
        <v>2219</v>
      </c>
      <c r="G532" s="458">
        <v>500000</v>
      </c>
      <c r="H532" s="458">
        <v>500000</v>
      </c>
      <c r="I532" s="461">
        <v>0</v>
      </c>
      <c r="J532" s="456" t="s">
        <v>1484</v>
      </c>
      <c r="K532" s="456" t="s">
        <v>778</v>
      </c>
      <c r="L532" s="456" t="s">
        <v>164</v>
      </c>
    </row>
    <row r="533" spans="1:12" x14ac:dyDescent="0.2">
      <c r="A533" s="456" t="s">
        <v>794</v>
      </c>
      <c r="B533" s="456" t="s">
        <v>2211</v>
      </c>
      <c r="C533" s="456" t="s">
        <v>779</v>
      </c>
      <c r="D533" s="456" t="s">
        <v>780</v>
      </c>
      <c r="E533" s="456" t="s">
        <v>2220</v>
      </c>
      <c r="F533" s="457" t="s">
        <v>2221</v>
      </c>
      <c r="G533" s="458">
        <v>373394.4</v>
      </c>
      <c r="H533" s="458">
        <v>96030.7</v>
      </c>
      <c r="I533" s="458">
        <v>277363.7</v>
      </c>
      <c r="J533" s="456" t="s">
        <v>2222</v>
      </c>
      <c r="K533" s="456" t="s">
        <v>778</v>
      </c>
      <c r="L533" s="456" t="s">
        <v>164</v>
      </c>
    </row>
    <row r="534" spans="1:12" x14ac:dyDescent="0.2">
      <c r="A534" s="456" t="s">
        <v>794</v>
      </c>
      <c r="B534" s="456" t="s">
        <v>2211</v>
      </c>
      <c r="C534" s="456" t="s">
        <v>779</v>
      </c>
      <c r="D534" s="456" t="s">
        <v>780</v>
      </c>
      <c r="E534" s="456" t="s">
        <v>2223</v>
      </c>
      <c r="F534" s="457" t="s">
        <v>2224</v>
      </c>
      <c r="G534" s="458">
        <v>5564.3</v>
      </c>
      <c r="H534" s="458">
        <v>24158.2</v>
      </c>
      <c r="I534" s="458">
        <v>-18593.900000000001</v>
      </c>
      <c r="J534" s="456" t="s">
        <v>1091</v>
      </c>
      <c r="K534" s="456" t="s">
        <v>778</v>
      </c>
      <c r="L534" s="456" t="s">
        <v>164</v>
      </c>
    </row>
    <row r="535" spans="1:12" x14ac:dyDescent="0.2">
      <c r="A535" s="456" t="s">
        <v>794</v>
      </c>
      <c r="B535" s="456" t="s">
        <v>2211</v>
      </c>
      <c r="C535" s="456" t="s">
        <v>779</v>
      </c>
      <c r="D535" s="456" t="s">
        <v>780</v>
      </c>
      <c r="E535" s="456" t="s">
        <v>2225</v>
      </c>
      <c r="F535" s="457" t="s">
        <v>2226</v>
      </c>
      <c r="G535" s="458">
        <v>3577857.27</v>
      </c>
      <c r="H535" s="458">
        <v>855757.32</v>
      </c>
      <c r="I535" s="458">
        <v>2722099.95</v>
      </c>
      <c r="J535" s="456" t="s">
        <v>2227</v>
      </c>
      <c r="K535" s="456" t="s">
        <v>778</v>
      </c>
      <c r="L535" s="456" t="s">
        <v>164</v>
      </c>
    </row>
    <row r="536" spans="1:12" x14ac:dyDescent="0.2">
      <c r="A536" s="456" t="s">
        <v>794</v>
      </c>
      <c r="B536" s="456" t="s">
        <v>2211</v>
      </c>
      <c r="C536" s="456" t="s">
        <v>779</v>
      </c>
      <c r="D536" s="456" t="s">
        <v>1021</v>
      </c>
      <c r="E536" s="456" t="s">
        <v>2228</v>
      </c>
      <c r="F536" s="457" t="s">
        <v>2229</v>
      </c>
      <c r="G536" s="458">
        <v>103876.64</v>
      </c>
      <c r="H536" s="458">
        <v>178744.02</v>
      </c>
      <c r="I536" s="458">
        <v>-74867.38</v>
      </c>
      <c r="J536" s="456" t="s">
        <v>2230</v>
      </c>
      <c r="K536" s="456" t="s">
        <v>778</v>
      </c>
      <c r="L536" s="456" t="s">
        <v>164</v>
      </c>
    </row>
    <row r="537" spans="1:12" x14ac:dyDescent="0.2">
      <c r="A537" s="456" t="s">
        <v>794</v>
      </c>
      <c r="B537" s="456" t="s">
        <v>2211</v>
      </c>
      <c r="C537" s="456" t="s">
        <v>779</v>
      </c>
      <c r="D537" s="456" t="s">
        <v>1220</v>
      </c>
      <c r="E537" s="456" t="s">
        <v>2231</v>
      </c>
      <c r="F537" s="457" t="s">
        <v>2232</v>
      </c>
      <c r="G537" s="458">
        <v>880690.76</v>
      </c>
      <c r="H537" s="458">
        <v>756319.75</v>
      </c>
      <c r="I537" s="458">
        <v>124371.01</v>
      </c>
      <c r="J537" s="456" t="s">
        <v>2233</v>
      </c>
      <c r="K537" s="456" t="s">
        <v>778</v>
      </c>
      <c r="L537" s="456" t="s">
        <v>164</v>
      </c>
    </row>
    <row r="538" spans="1:12" x14ac:dyDescent="0.2">
      <c r="A538" s="459" t="s">
        <v>848</v>
      </c>
      <c r="B538" s="459" t="s">
        <v>2211</v>
      </c>
      <c r="C538" s="459" t="s">
        <v>299</v>
      </c>
      <c r="D538" s="459" t="s">
        <v>299</v>
      </c>
      <c r="E538" s="459" t="s">
        <v>299</v>
      </c>
      <c r="F538" s="457" t="s">
        <v>2234</v>
      </c>
      <c r="G538" s="460">
        <v>-64951637.82</v>
      </c>
      <c r="H538" s="460">
        <v>28008063.75</v>
      </c>
      <c r="I538" s="460">
        <v>-92959701.569999993</v>
      </c>
      <c r="J538" s="459" t="s">
        <v>2235</v>
      </c>
      <c r="K538" s="459" t="s">
        <v>778</v>
      </c>
      <c r="L538" s="459" t="s">
        <v>164</v>
      </c>
    </row>
    <row r="539" spans="1:12" x14ac:dyDescent="0.2">
      <c r="A539" s="456" t="s">
        <v>794</v>
      </c>
      <c r="B539" s="456" t="s">
        <v>2236</v>
      </c>
      <c r="C539" s="456" t="s">
        <v>779</v>
      </c>
      <c r="D539" s="456" t="s">
        <v>1220</v>
      </c>
      <c r="E539" s="456" t="s">
        <v>2237</v>
      </c>
      <c r="F539" s="457" t="s">
        <v>2238</v>
      </c>
      <c r="G539" s="461">
        <v>0</v>
      </c>
      <c r="H539" s="458">
        <v>47522737.030000001</v>
      </c>
      <c r="I539" s="458">
        <v>-47522737.030000001</v>
      </c>
      <c r="J539" s="456" t="s">
        <v>826</v>
      </c>
      <c r="K539" s="456" t="s">
        <v>778</v>
      </c>
      <c r="L539" s="456" t="s">
        <v>164</v>
      </c>
    </row>
    <row r="540" spans="1:12" x14ac:dyDescent="0.2">
      <c r="A540" s="456" t="s">
        <v>794</v>
      </c>
      <c r="B540" s="456" t="s">
        <v>2236</v>
      </c>
      <c r="C540" s="456" t="s">
        <v>779</v>
      </c>
      <c r="D540" s="456" t="s">
        <v>1220</v>
      </c>
      <c r="E540" s="456" t="s">
        <v>2239</v>
      </c>
      <c r="F540" s="457" t="s">
        <v>2240</v>
      </c>
      <c r="G540" s="461">
        <v>0</v>
      </c>
      <c r="H540" s="458">
        <v>16891781.800000001</v>
      </c>
      <c r="I540" s="458">
        <v>-16891781.800000001</v>
      </c>
      <c r="J540" s="456" t="s">
        <v>826</v>
      </c>
      <c r="K540" s="456" t="s">
        <v>778</v>
      </c>
      <c r="L540" s="456" t="s">
        <v>164</v>
      </c>
    </row>
    <row r="541" spans="1:12" x14ac:dyDescent="0.2">
      <c r="A541" s="456" t="s">
        <v>794</v>
      </c>
      <c r="B541" s="456" t="s">
        <v>2236</v>
      </c>
      <c r="C541" s="456" t="s">
        <v>779</v>
      </c>
      <c r="D541" s="456" t="s">
        <v>1220</v>
      </c>
      <c r="E541" s="456" t="s">
        <v>2241</v>
      </c>
      <c r="F541" s="457" t="s">
        <v>2242</v>
      </c>
      <c r="G541" s="461">
        <v>0</v>
      </c>
      <c r="H541" s="458">
        <v>41460859.859999999</v>
      </c>
      <c r="I541" s="458">
        <v>-41460859.859999999</v>
      </c>
      <c r="J541" s="456" t="s">
        <v>826</v>
      </c>
      <c r="K541" s="456" t="s">
        <v>778</v>
      </c>
      <c r="L541" s="456" t="s">
        <v>164</v>
      </c>
    </row>
    <row r="542" spans="1:12" x14ac:dyDescent="0.2">
      <c r="A542" s="456" t="s">
        <v>794</v>
      </c>
      <c r="B542" s="456" t="s">
        <v>2236</v>
      </c>
      <c r="C542" s="456" t="s">
        <v>779</v>
      </c>
      <c r="D542" s="456" t="s">
        <v>1220</v>
      </c>
      <c r="E542" s="456" t="s">
        <v>2243</v>
      </c>
      <c r="F542" s="457" t="s">
        <v>2244</v>
      </c>
      <c r="G542" s="461">
        <v>0</v>
      </c>
      <c r="H542" s="458">
        <v>61844678</v>
      </c>
      <c r="I542" s="458">
        <v>-61844678</v>
      </c>
      <c r="J542" s="456" t="s">
        <v>826</v>
      </c>
      <c r="K542" s="456" t="s">
        <v>778</v>
      </c>
      <c r="L542" s="456" t="s">
        <v>164</v>
      </c>
    </row>
    <row r="543" spans="1:12" x14ac:dyDescent="0.2">
      <c r="A543" s="456" t="s">
        <v>794</v>
      </c>
      <c r="B543" s="456" t="s">
        <v>2236</v>
      </c>
      <c r="C543" s="456" t="s">
        <v>779</v>
      </c>
      <c r="D543" s="456" t="s">
        <v>1220</v>
      </c>
      <c r="E543" s="456" t="s">
        <v>2245</v>
      </c>
      <c r="F543" s="457" t="s">
        <v>2246</v>
      </c>
      <c r="G543" s="461">
        <v>0</v>
      </c>
      <c r="H543" s="458">
        <v>4744824.51</v>
      </c>
      <c r="I543" s="458">
        <v>-4744824.51</v>
      </c>
      <c r="J543" s="456" t="s">
        <v>826</v>
      </c>
      <c r="K543" s="456" t="s">
        <v>778</v>
      </c>
      <c r="L543" s="456" t="s">
        <v>164</v>
      </c>
    </row>
    <row r="544" spans="1:12" x14ac:dyDescent="0.2">
      <c r="A544" s="456" t="s">
        <v>794</v>
      </c>
      <c r="B544" s="456" t="s">
        <v>2236</v>
      </c>
      <c r="C544" s="456" t="s">
        <v>2247</v>
      </c>
      <c r="D544" s="456" t="s">
        <v>1220</v>
      </c>
      <c r="E544" s="456" t="s">
        <v>2248</v>
      </c>
      <c r="F544" s="457" t="s">
        <v>2249</v>
      </c>
      <c r="G544" s="458">
        <v>128919101</v>
      </c>
      <c r="H544" s="461">
        <v>0</v>
      </c>
      <c r="I544" s="458">
        <v>128919101</v>
      </c>
      <c r="J544" s="456" t="s">
        <v>299</v>
      </c>
      <c r="K544" s="456" t="s">
        <v>778</v>
      </c>
      <c r="L544" s="456" t="s">
        <v>164</v>
      </c>
    </row>
    <row r="545" spans="1:12" x14ac:dyDescent="0.2">
      <c r="A545" s="459" t="s">
        <v>848</v>
      </c>
      <c r="B545" s="459" t="s">
        <v>2236</v>
      </c>
      <c r="C545" s="459" t="s">
        <v>299</v>
      </c>
      <c r="D545" s="459" t="s">
        <v>299</v>
      </c>
      <c r="E545" s="459" t="s">
        <v>299</v>
      </c>
      <c r="F545" s="457" t="s">
        <v>2250</v>
      </c>
      <c r="G545" s="460">
        <v>128919101</v>
      </c>
      <c r="H545" s="460">
        <v>172464881.19999999</v>
      </c>
      <c r="I545" s="460">
        <v>-43545780.200000003</v>
      </c>
      <c r="J545" s="459" t="s">
        <v>2251</v>
      </c>
      <c r="K545" s="459" t="s">
        <v>778</v>
      </c>
      <c r="L545" s="459" t="s">
        <v>164</v>
      </c>
    </row>
    <row r="546" spans="1:12" x14ac:dyDescent="0.2">
      <c r="A546" s="459" t="s">
        <v>1162</v>
      </c>
      <c r="B546" s="459" t="s">
        <v>2252</v>
      </c>
      <c r="C546" s="459" t="s">
        <v>299</v>
      </c>
      <c r="D546" s="459" t="s">
        <v>299</v>
      </c>
      <c r="E546" s="459" t="s">
        <v>299</v>
      </c>
      <c r="F546" s="457" t="s">
        <v>2253</v>
      </c>
      <c r="G546" s="460">
        <v>63967463.18</v>
      </c>
      <c r="H546" s="460">
        <v>200472944.94999999</v>
      </c>
      <c r="I546" s="460">
        <v>-136505481.77000001</v>
      </c>
      <c r="J546" s="459" t="s">
        <v>1689</v>
      </c>
      <c r="K546" s="459" t="s">
        <v>778</v>
      </c>
      <c r="L546" s="459" t="s">
        <v>164</v>
      </c>
    </row>
    <row r="547" spans="1:12" x14ac:dyDescent="0.2">
      <c r="A547" s="459" t="s">
        <v>2001</v>
      </c>
      <c r="B547" s="459" t="s">
        <v>2254</v>
      </c>
      <c r="C547" s="459" t="s">
        <v>299</v>
      </c>
      <c r="D547" s="459" t="s">
        <v>299</v>
      </c>
      <c r="E547" s="459" t="s">
        <v>299</v>
      </c>
      <c r="F547" s="457" t="s">
        <v>2255</v>
      </c>
      <c r="G547" s="460">
        <v>146908083.74000001</v>
      </c>
      <c r="H547" s="460">
        <v>362637560.31</v>
      </c>
      <c r="I547" s="460">
        <v>-215729476.56999999</v>
      </c>
      <c r="J547" s="459" t="s">
        <v>923</v>
      </c>
      <c r="K547" s="459" t="s">
        <v>778</v>
      </c>
      <c r="L547" s="459" t="s">
        <v>164</v>
      </c>
    </row>
    <row r="548" spans="1:12" x14ac:dyDescent="0.2">
      <c r="A548" s="456" t="s">
        <v>848</v>
      </c>
      <c r="B548" s="456" t="s">
        <v>2256</v>
      </c>
      <c r="C548" s="456" t="s">
        <v>779</v>
      </c>
      <c r="D548" s="456" t="s">
        <v>1220</v>
      </c>
      <c r="E548" s="456" t="s">
        <v>2257</v>
      </c>
      <c r="F548" s="457" t="s">
        <v>2258</v>
      </c>
      <c r="G548" s="458">
        <v>27772000</v>
      </c>
      <c r="H548" s="458">
        <v>30300000</v>
      </c>
      <c r="I548" s="458">
        <v>-2528000</v>
      </c>
      <c r="J548" s="456" t="s">
        <v>2259</v>
      </c>
      <c r="K548" s="456" t="s">
        <v>778</v>
      </c>
      <c r="L548" s="456" t="s">
        <v>164</v>
      </c>
    </row>
    <row r="549" spans="1:12" x14ac:dyDescent="0.2">
      <c r="A549" s="459" t="s">
        <v>1162</v>
      </c>
      <c r="B549" s="459" t="s">
        <v>2256</v>
      </c>
      <c r="C549" s="459" t="s">
        <v>299</v>
      </c>
      <c r="D549" s="459" t="s">
        <v>299</v>
      </c>
      <c r="E549" s="459" t="s">
        <v>299</v>
      </c>
      <c r="F549" s="457" t="s">
        <v>2260</v>
      </c>
      <c r="G549" s="460">
        <v>27772000</v>
      </c>
      <c r="H549" s="460">
        <v>30300000</v>
      </c>
      <c r="I549" s="460">
        <v>-2528000</v>
      </c>
      <c r="J549" s="459" t="s">
        <v>2259</v>
      </c>
      <c r="K549" s="459" t="s">
        <v>778</v>
      </c>
      <c r="L549" s="459" t="s">
        <v>164</v>
      </c>
    </row>
    <row r="550" spans="1:12" x14ac:dyDescent="0.2">
      <c r="A550" s="456" t="s">
        <v>848</v>
      </c>
      <c r="B550" s="456" t="s">
        <v>2261</v>
      </c>
      <c r="C550" s="456" t="s">
        <v>779</v>
      </c>
      <c r="D550" s="456" t="s">
        <v>1220</v>
      </c>
      <c r="E550" s="456" t="s">
        <v>2262</v>
      </c>
      <c r="F550" s="457" t="s">
        <v>2263</v>
      </c>
      <c r="G550" s="461">
        <v>0</v>
      </c>
      <c r="H550" s="458">
        <v>579824.56999999995</v>
      </c>
      <c r="I550" s="458">
        <v>-579824.56999999995</v>
      </c>
      <c r="J550" s="456" t="s">
        <v>826</v>
      </c>
      <c r="K550" s="456" t="s">
        <v>778</v>
      </c>
      <c r="L550" s="456" t="s">
        <v>164</v>
      </c>
    </row>
    <row r="551" spans="1:12" x14ac:dyDescent="0.2">
      <c r="A551" s="459" t="s">
        <v>1162</v>
      </c>
      <c r="B551" s="459" t="s">
        <v>2261</v>
      </c>
      <c r="C551" s="459" t="s">
        <v>299</v>
      </c>
      <c r="D551" s="459" t="s">
        <v>299</v>
      </c>
      <c r="E551" s="459" t="s">
        <v>299</v>
      </c>
      <c r="F551" s="457" t="s">
        <v>2264</v>
      </c>
      <c r="G551" s="462">
        <v>0</v>
      </c>
      <c r="H551" s="460">
        <v>579824.56999999995</v>
      </c>
      <c r="I551" s="460">
        <v>-579824.56999999995</v>
      </c>
      <c r="J551" s="459" t="s">
        <v>826</v>
      </c>
      <c r="K551" s="459" t="s">
        <v>778</v>
      </c>
      <c r="L551" s="459" t="s">
        <v>164</v>
      </c>
    </row>
    <row r="552" spans="1:12" x14ac:dyDescent="0.2">
      <c r="A552" s="459" t="s">
        <v>2001</v>
      </c>
      <c r="B552" s="459" t="s">
        <v>2265</v>
      </c>
      <c r="C552" s="459" t="s">
        <v>299</v>
      </c>
      <c r="D552" s="459" t="s">
        <v>299</v>
      </c>
      <c r="E552" s="459" t="s">
        <v>299</v>
      </c>
      <c r="F552" s="457" t="s">
        <v>2266</v>
      </c>
      <c r="G552" s="460">
        <v>27772000</v>
      </c>
      <c r="H552" s="460">
        <v>30879824.57</v>
      </c>
      <c r="I552" s="460">
        <v>-3107824.57</v>
      </c>
      <c r="J552" s="459" t="s">
        <v>2267</v>
      </c>
      <c r="K552" s="459" t="s">
        <v>778</v>
      </c>
      <c r="L552" s="459" t="s">
        <v>164</v>
      </c>
    </row>
    <row r="553" spans="1:12" x14ac:dyDescent="0.2">
      <c r="A553" s="456" t="s">
        <v>848</v>
      </c>
      <c r="B553" s="456" t="s">
        <v>2268</v>
      </c>
      <c r="C553" s="456" t="s">
        <v>779</v>
      </c>
      <c r="D553" s="456" t="s">
        <v>780</v>
      </c>
      <c r="E553" s="456" t="s">
        <v>2269</v>
      </c>
      <c r="F553" s="457" t="s">
        <v>2270</v>
      </c>
      <c r="G553" s="458">
        <v>-22644084.010000002</v>
      </c>
      <c r="H553" s="458">
        <v>-19417608.440000001</v>
      </c>
      <c r="I553" s="458">
        <v>-3226475.57</v>
      </c>
      <c r="J553" s="456" t="s">
        <v>2271</v>
      </c>
      <c r="K553" s="456" t="s">
        <v>778</v>
      </c>
      <c r="L553" s="456" t="s">
        <v>164</v>
      </c>
    </row>
    <row r="554" spans="1:12" x14ac:dyDescent="0.2">
      <c r="A554" s="456" t="s">
        <v>848</v>
      </c>
      <c r="B554" s="456" t="s">
        <v>2268</v>
      </c>
      <c r="C554" s="456" t="s">
        <v>779</v>
      </c>
      <c r="D554" s="456" t="s">
        <v>780</v>
      </c>
      <c r="E554" s="456" t="s">
        <v>2272</v>
      </c>
      <c r="F554" s="457" t="s">
        <v>2273</v>
      </c>
      <c r="G554" s="458">
        <v>49853940.310000002</v>
      </c>
      <c r="H554" s="458">
        <v>46473398.630000003</v>
      </c>
      <c r="I554" s="458">
        <v>3380541.68</v>
      </c>
      <c r="J554" s="456" t="s">
        <v>1142</v>
      </c>
      <c r="K554" s="456" t="s">
        <v>778</v>
      </c>
      <c r="L554" s="456" t="s">
        <v>164</v>
      </c>
    </row>
    <row r="555" spans="1:12" x14ac:dyDescent="0.2">
      <c r="A555" s="456" t="s">
        <v>848</v>
      </c>
      <c r="B555" s="456" t="s">
        <v>2268</v>
      </c>
      <c r="C555" s="456" t="s">
        <v>779</v>
      </c>
      <c r="D555" s="456" t="s">
        <v>780</v>
      </c>
      <c r="E555" s="456" t="s">
        <v>2274</v>
      </c>
      <c r="F555" s="457" t="s">
        <v>2275</v>
      </c>
      <c r="G555" s="458">
        <v>-9681271.8300000001</v>
      </c>
      <c r="H555" s="458">
        <v>-9760871.8300000001</v>
      </c>
      <c r="I555" s="458">
        <v>79600</v>
      </c>
      <c r="J555" s="456" t="s">
        <v>2276</v>
      </c>
      <c r="K555" s="456" t="s">
        <v>778</v>
      </c>
      <c r="L555" s="456" t="s">
        <v>164</v>
      </c>
    </row>
    <row r="556" spans="1:12" x14ac:dyDescent="0.2">
      <c r="A556" s="456" t="s">
        <v>848</v>
      </c>
      <c r="B556" s="456" t="s">
        <v>2268</v>
      </c>
      <c r="C556" s="456" t="s">
        <v>779</v>
      </c>
      <c r="D556" s="456" t="s">
        <v>780</v>
      </c>
      <c r="E556" s="456" t="s">
        <v>2277</v>
      </c>
      <c r="F556" s="457" t="s">
        <v>2278</v>
      </c>
      <c r="G556" s="458">
        <v>4989303.63</v>
      </c>
      <c r="H556" s="458">
        <v>4155557.92</v>
      </c>
      <c r="I556" s="458">
        <v>833745.71</v>
      </c>
      <c r="J556" s="456" t="s">
        <v>2279</v>
      </c>
      <c r="K556" s="456" t="s">
        <v>778</v>
      </c>
      <c r="L556" s="456" t="s">
        <v>164</v>
      </c>
    </row>
    <row r="557" spans="1:12" x14ac:dyDescent="0.2">
      <c r="A557" s="456" t="s">
        <v>848</v>
      </c>
      <c r="B557" s="456" t="s">
        <v>2268</v>
      </c>
      <c r="C557" s="456" t="s">
        <v>779</v>
      </c>
      <c r="D557" s="456" t="s">
        <v>780</v>
      </c>
      <c r="E557" s="456" t="s">
        <v>2280</v>
      </c>
      <c r="F557" s="457" t="s">
        <v>2281</v>
      </c>
      <c r="G557" s="458">
        <v>4378888.59</v>
      </c>
      <c r="H557" s="458">
        <v>6064677.8399999999</v>
      </c>
      <c r="I557" s="458">
        <v>-1685789.25</v>
      </c>
      <c r="J557" s="456" t="s">
        <v>2282</v>
      </c>
      <c r="K557" s="456" t="s">
        <v>778</v>
      </c>
      <c r="L557" s="456" t="s">
        <v>164</v>
      </c>
    </row>
    <row r="558" spans="1:12" x14ac:dyDescent="0.2">
      <c r="A558" s="456" t="s">
        <v>848</v>
      </c>
      <c r="B558" s="456" t="s">
        <v>2268</v>
      </c>
      <c r="C558" s="456" t="s">
        <v>779</v>
      </c>
      <c r="D558" s="456" t="s">
        <v>780</v>
      </c>
      <c r="E558" s="456" t="s">
        <v>2283</v>
      </c>
      <c r="F558" s="457" t="s">
        <v>2284</v>
      </c>
      <c r="G558" s="458">
        <v>-9193856.5600000005</v>
      </c>
      <c r="H558" s="458">
        <v>-8765096.3499999996</v>
      </c>
      <c r="I558" s="458">
        <v>-428760.21</v>
      </c>
      <c r="J558" s="456" t="s">
        <v>2285</v>
      </c>
      <c r="K558" s="456" t="s">
        <v>778</v>
      </c>
      <c r="L558" s="456" t="s">
        <v>164</v>
      </c>
    </row>
    <row r="559" spans="1:12" x14ac:dyDescent="0.2">
      <c r="A559" s="459" t="s">
        <v>1162</v>
      </c>
      <c r="B559" s="459" t="s">
        <v>2268</v>
      </c>
      <c r="C559" s="459" t="s">
        <v>299</v>
      </c>
      <c r="D559" s="459" t="s">
        <v>299</v>
      </c>
      <c r="E559" s="459" t="s">
        <v>299</v>
      </c>
      <c r="F559" s="457" t="s">
        <v>2286</v>
      </c>
      <c r="G559" s="460">
        <v>17702920.129999999</v>
      </c>
      <c r="H559" s="460">
        <v>18750057.77</v>
      </c>
      <c r="I559" s="460">
        <v>-1047137.64</v>
      </c>
      <c r="J559" s="459" t="s">
        <v>2287</v>
      </c>
      <c r="K559" s="459" t="s">
        <v>778</v>
      </c>
      <c r="L559" s="459" t="s">
        <v>164</v>
      </c>
    </row>
    <row r="560" spans="1:12" x14ac:dyDescent="0.2">
      <c r="A560" s="456" t="s">
        <v>848</v>
      </c>
      <c r="B560" s="456" t="s">
        <v>2288</v>
      </c>
      <c r="C560" s="456" t="s">
        <v>779</v>
      </c>
      <c r="D560" s="456" t="s">
        <v>780</v>
      </c>
      <c r="E560" s="456" t="s">
        <v>2289</v>
      </c>
      <c r="F560" s="457" t="s">
        <v>2290</v>
      </c>
      <c r="G560" s="458">
        <v>523055389.39999998</v>
      </c>
      <c r="H560" s="458">
        <v>383778534.25999999</v>
      </c>
      <c r="I560" s="458">
        <v>139276855.13999999</v>
      </c>
      <c r="J560" s="456" t="s">
        <v>2291</v>
      </c>
      <c r="K560" s="456" t="s">
        <v>778</v>
      </c>
      <c r="L560" s="456" t="s">
        <v>164</v>
      </c>
    </row>
    <row r="561" spans="1:12" x14ac:dyDescent="0.2">
      <c r="A561" s="456" t="s">
        <v>848</v>
      </c>
      <c r="B561" s="456" t="s">
        <v>2288</v>
      </c>
      <c r="C561" s="456" t="s">
        <v>780</v>
      </c>
      <c r="D561" s="456" t="s">
        <v>801</v>
      </c>
      <c r="E561" s="456" t="s">
        <v>2292</v>
      </c>
      <c r="F561" s="457" t="s">
        <v>2293</v>
      </c>
      <c r="G561" s="458">
        <v>-87357378.069999993</v>
      </c>
      <c r="H561" s="458">
        <v>-28713530</v>
      </c>
      <c r="I561" s="458">
        <v>-58643848.07</v>
      </c>
      <c r="J561" s="456" t="s">
        <v>2294</v>
      </c>
      <c r="K561" s="456" t="s">
        <v>778</v>
      </c>
      <c r="L561" s="456" t="s">
        <v>164</v>
      </c>
    </row>
    <row r="562" spans="1:12" x14ac:dyDescent="0.2">
      <c r="A562" s="456" t="s">
        <v>848</v>
      </c>
      <c r="B562" s="456" t="s">
        <v>2288</v>
      </c>
      <c r="C562" s="456" t="s">
        <v>779</v>
      </c>
      <c r="D562" s="456" t="s">
        <v>780</v>
      </c>
      <c r="E562" s="456" t="s">
        <v>2295</v>
      </c>
      <c r="F562" s="457" t="s">
        <v>2296</v>
      </c>
      <c r="G562" s="458">
        <v>66570839.009999998</v>
      </c>
      <c r="H562" s="458">
        <v>23620991.07</v>
      </c>
      <c r="I562" s="458">
        <v>42949847.939999998</v>
      </c>
      <c r="J562" s="456" t="s">
        <v>2297</v>
      </c>
      <c r="K562" s="456" t="s">
        <v>778</v>
      </c>
      <c r="L562" s="456" t="s">
        <v>164</v>
      </c>
    </row>
    <row r="563" spans="1:12" x14ac:dyDescent="0.2">
      <c r="A563" s="456" t="s">
        <v>848</v>
      </c>
      <c r="B563" s="456" t="s">
        <v>2288</v>
      </c>
      <c r="C563" s="456" t="s">
        <v>779</v>
      </c>
      <c r="D563" s="456" t="s">
        <v>801</v>
      </c>
      <c r="E563" s="456" t="s">
        <v>2298</v>
      </c>
      <c r="F563" s="457" t="s">
        <v>2299</v>
      </c>
      <c r="G563" s="458">
        <v>52291300.189999998</v>
      </c>
      <c r="H563" s="461">
        <v>0</v>
      </c>
      <c r="I563" s="458">
        <v>52291300.189999998</v>
      </c>
      <c r="J563" s="456" t="s">
        <v>299</v>
      </c>
      <c r="K563" s="456" t="s">
        <v>778</v>
      </c>
      <c r="L563" s="456" t="s">
        <v>164</v>
      </c>
    </row>
    <row r="564" spans="1:12" x14ac:dyDescent="0.2">
      <c r="A564" s="456" t="s">
        <v>848</v>
      </c>
      <c r="B564" s="456" t="s">
        <v>2288</v>
      </c>
      <c r="C564" s="456" t="s">
        <v>779</v>
      </c>
      <c r="D564" s="456" t="s">
        <v>784</v>
      </c>
      <c r="E564" s="456" t="s">
        <v>2300</v>
      </c>
      <c r="F564" s="457" t="s">
        <v>2301</v>
      </c>
      <c r="G564" s="458">
        <v>26402364.379999999</v>
      </c>
      <c r="H564" s="458">
        <v>89158182.659999996</v>
      </c>
      <c r="I564" s="458">
        <v>-62755818.280000001</v>
      </c>
      <c r="J564" s="456" t="s">
        <v>2302</v>
      </c>
      <c r="K564" s="456" t="s">
        <v>778</v>
      </c>
      <c r="L564" s="456" t="s">
        <v>164</v>
      </c>
    </row>
    <row r="565" spans="1:12" x14ac:dyDescent="0.2">
      <c r="A565" s="459" t="s">
        <v>1162</v>
      </c>
      <c r="B565" s="459" t="s">
        <v>2288</v>
      </c>
      <c r="C565" s="459" t="s">
        <v>299</v>
      </c>
      <c r="D565" s="459" t="s">
        <v>299</v>
      </c>
      <c r="E565" s="459" t="s">
        <v>299</v>
      </c>
      <c r="F565" s="457" t="s">
        <v>2303</v>
      </c>
      <c r="G565" s="460">
        <v>580962514.90999997</v>
      </c>
      <c r="H565" s="460">
        <v>467844177.99000001</v>
      </c>
      <c r="I565" s="460">
        <v>113118336.92</v>
      </c>
      <c r="J565" s="459" t="s">
        <v>2304</v>
      </c>
      <c r="K565" s="459" t="s">
        <v>778</v>
      </c>
      <c r="L565" s="459" t="s">
        <v>164</v>
      </c>
    </row>
    <row r="566" spans="1:12" x14ac:dyDescent="0.2">
      <c r="A566" s="456" t="s">
        <v>794</v>
      </c>
      <c r="B566" s="456" t="s">
        <v>2305</v>
      </c>
      <c r="C566" s="456" t="s">
        <v>779</v>
      </c>
      <c r="D566" s="456" t="s">
        <v>780</v>
      </c>
      <c r="E566" s="456" t="s">
        <v>2306</v>
      </c>
      <c r="F566" s="457" t="s">
        <v>2307</v>
      </c>
      <c r="G566" s="458">
        <v>-57793597.899999999</v>
      </c>
      <c r="H566" s="458">
        <v>-512447.72</v>
      </c>
      <c r="I566" s="458">
        <v>-57281150.18</v>
      </c>
      <c r="J566" s="456" t="s">
        <v>2308</v>
      </c>
      <c r="K566" s="456" t="s">
        <v>778</v>
      </c>
      <c r="L566" s="456" t="s">
        <v>164</v>
      </c>
    </row>
    <row r="567" spans="1:12" x14ac:dyDescent="0.2">
      <c r="A567" s="456" t="s">
        <v>794</v>
      </c>
      <c r="B567" s="456" t="s">
        <v>2305</v>
      </c>
      <c r="C567" s="456" t="s">
        <v>779</v>
      </c>
      <c r="D567" s="456" t="s">
        <v>784</v>
      </c>
      <c r="E567" s="456" t="s">
        <v>2309</v>
      </c>
      <c r="F567" s="457" t="s">
        <v>2310</v>
      </c>
      <c r="G567" s="461">
        <v>0</v>
      </c>
      <c r="H567" s="458">
        <v>-1600579</v>
      </c>
      <c r="I567" s="458">
        <v>1600579</v>
      </c>
      <c r="J567" s="456" t="s">
        <v>810</v>
      </c>
      <c r="K567" s="456" t="s">
        <v>778</v>
      </c>
      <c r="L567" s="456" t="s">
        <v>164</v>
      </c>
    </row>
    <row r="568" spans="1:12" x14ac:dyDescent="0.2">
      <c r="A568" s="456" t="s">
        <v>794</v>
      </c>
      <c r="B568" s="456" t="s">
        <v>2305</v>
      </c>
      <c r="C568" s="456" t="s">
        <v>779</v>
      </c>
      <c r="D568" s="456" t="s">
        <v>784</v>
      </c>
      <c r="E568" s="456" t="s">
        <v>2311</v>
      </c>
      <c r="F568" s="457" t="s">
        <v>2312</v>
      </c>
      <c r="G568" s="458">
        <v>-1541767.33</v>
      </c>
      <c r="H568" s="458">
        <v>-1543446.79</v>
      </c>
      <c r="I568" s="458">
        <v>1679.46</v>
      </c>
      <c r="J568" s="456" t="s">
        <v>2313</v>
      </c>
      <c r="K568" s="456" t="s">
        <v>778</v>
      </c>
      <c r="L568" s="456" t="s">
        <v>164</v>
      </c>
    </row>
    <row r="569" spans="1:12" x14ac:dyDescent="0.2">
      <c r="A569" s="456" t="s">
        <v>794</v>
      </c>
      <c r="B569" s="456" t="s">
        <v>2305</v>
      </c>
      <c r="C569" s="456" t="s">
        <v>779</v>
      </c>
      <c r="D569" s="456" t="s">
        <v>784</v>
      </c>
      <c r="E569" s="456" t="s">
        <v>2314</v>
      </c>
      <c r="F569" s="457" t="s">
        <v>2315</v>
      </c>
      <c r="G569" s="461">
        <v>0</v>
      </c>
      <c r="H569" s="458">
        <v>693202.24</v>
      </c>
      <c r="I569" s="458">
        <v>-693202.24</v>
      </c>
      <c r="J569" s="456" t="s">
        <v>826</v>
      </c>
      <c r="K569" s="456" t="s">
        <v>778</v>
      </c>
      <c r="L569" s="456" t="s">
        <v>164</v>
      </c>
    </row>
    <row r="570" spans="1:12" x14ac:dyDescent="0.2">
      <c r="A570" s="459" t="s">
        <v>848</v>
      </c>
      <c r="B570" s="459" t="s">
        <v>2305</v>
      </c>
      <c r="C570" s="459" t="s">
        <v>299</v>
      </c>
      <c r="D570" s="459" t="s">
        <v>299</v>
      </c>
      <c r="E570" s="459" t="s">
        <v>299</v>
      </c>
      <c r="F570" s="457" t="s">
        <v>2316</v>
      </c>
      <c r="G570" s="460">
        <v>-59335365.229999997</v>
      </c>
      <c r="H570" s="460">
        <v>-2963271.27</v>
      </c>
      <c r="I570" s="460">
        <v>-56372093.960000001</v>
      </c>
      <c r="J570" s="459" t="s">
        <v>2317</v>
      </c>
      <c r="K570" s="459" t="s">
        <v>778</v>
      </c>
      <c r="L570" s="459" t="s">
        <v>164</v>
      </c>
    </row>
    <row r="571" spans="1:12" x14ac:dyDescent="0.2">
      <c r="A571" s="459" t="s">
        <v>1162</v>
      </c>
      <c r="B571" s="459" t="s">
        <v>2318</v>
      </c>
      <c r="C571" s="459" t="s">
        <v>299</v>
      </c>
      <c r="D571" s="459" t="s">
        <v>299</v>
      </c>
      <c r="E571" s="459" t="s">
        <v>299</v>
      </c>
      <c r="F571" s="457" t="s">
        <v>2319</v>
      </c>
      <c r="G571" s="460">
        <v>-59335365.229999997</v>
      </c>
      <c r="H571" s="460">
        <v>-2963271.27</v>
      </c>
      <c r="I571" s="460">
        <v>-56372093.960000001</v>
      </c>
      <c r="J571" s="459" t="s">
        <v>2317</v>
      </c>
      <c r="K571" s="459" t="s">
        <v>778</v>
      </c>
      <c r="L571" s="459" t="s">
        <v>164</v>
      </c>
    </row>
    <row r="572" spans="1:12" x14ac:dyDescent="0.2">
      <c r="A572" s="459" t="s">
        <v>2001</v>
      </c>
      <c r="B572" s="459" t="s">
        <v>2320</v>
      </c>
      <c r="C572" s="459" t="s">
        <v>299</v>
      </c>
      <c r="D572" s="459" t="s">
        <v>299</v>
      </c>
      <c r="E572" s="459" t="s">
        <v>299</v>
      </c>
      <c r="F572" s="457" t="s">
        <v>2321</v>
      </c>
      <c r="G572" s="460">
        <v>539330069.80999994</v>
      </c>
      <c r="H572" s="460">
        <v>483630964.49000001</v>
      </c>
      <c r="I572" s="460">
        <v>55699105.32</v>
      </c>
      <c r="J572" s="459" t="s">
        <v>2322</v>
      </c>
      <c r="K572" s="459" t="s">
        <v>778</v>
      </c>
      <c r="L572" s="459" t="s">
        <v>164</v>
      </c>
    </row>
    <row r="573" spans="1:12" x14ac:dyDescent="0.2">
      <c r="A573" s="456" t="s">
        <v>794</v>
      </c>
      <c r="B573" s="456" t="s">
        <v>2323</v>
      </c>
      <c r="C573" s="456" t="s">
        <v>780</v>
      </c>
      <c r="D573" s="456" t="s">
        <v>780</v>
      </c>
      <c r="E573" s="456" t="s">
        <v>2324</v>
      </c>
      <c r="F573" s="457" t="s">
        <v>2325</v>
      </c>
      <c r="G573" s="458">
        <v>6647581.0300000003</v>
      </c>
      <c r="H573" s="458">
        <v>7088629.9000000004</v>
      </c>
      <c r="I573" s="458">
        <v>-441048.87</v>
      </c>
      <c r="J573" s="456" t="s">
        <v>2326</v>
      </c>
      <c r="K573" s="456" t="s">
        <v>778</v>
      </c>
      <c r="L573" s="456" t="s">
        <v>164</v>
      </c>
    </row>
    <row r="574" spans="1:12" x14ac:dyDescent="0.2">
      <c r="A574" s="456" t="s">
        <v>794</v>
      </c>
      <c r="B574" s="456" t="s">
        <v>2323</v>
      </c>
      <c r="C574" s="456" t="s">
        <v>780</v>
      </c>
      <c r="D574" s="456" t="s">
        <v>780</v>
      </c>
      <c r="E574" s="456" t="s">
        <v>2327</v>
      </c>
      <c r="F574" s="457" t="s">
        <v>2328</v>
      </c>
      <c r="G574" s="458">
        <v>-8312342.6399999997</v>
      </c>
      <c r="H574" s="458">
        <v>172703</v>
      </c>
      <c r="I574" s="458">
        <v>-8485045.6400000006</v>
      </c>
      <c r="J574" s="456" t="s">
        <v>2329</v>
      </c>
      <c r="K574" s="456" t="s">
        <v>778</v>
      </c>
      <c r="L574" s="456" t="s">
        <v>164</v>
      </c>
    </row>
    <row r="575" spans="1:12" x14ac:dyDescent="0.2">
      <c r="A575" s="456" t="s">
        <v>794</v>
      </c>
      <c r="B575" s="456" t="s">
        <v>2323</v>
      </c>
      <c r="C575" s="456" t="s">
        <v>779</v>
      </c>
      <c r="D575" s="456" t="s">
        <v>780</v>
      </c>
      <c r="E575" s="456" t="s">
        <v>2330</v>
      </c>
      <c r="F575" s="457" t="s">
        <v>2331</v>
      </c>
      <c r="G575" s="458">
        <v>6740810.71</v>
      </c>
      <c r="H575" s="458">
        <v>25491410</v>
      </c>
      <c r="I575" s="458">
        <v>-18750599.289999999</v>
      </c>
      <c r="J575" s="456" t="s">
        <v>2332</v>
      </c>
      <c r="K575" s="456" t="s">
        <v>778</v>
      </c>
      <c r="L575" s="456" t="s">
        <v>164</v>
      </c>
    </row>
    <row r="576" spans="1:12" x14ac:dyDescent="0.2">
      <c r="A576" s="456" t="s">
        <v>794</v>
      </c>
      <c r="B576" s="456" t="s">
        <v>2323</v>
      </c>
      <c r="C576" s="456" t="s">
        <v>779</v>
      </c>
      <c r="D576" s="456" t="s">
        <v>1220</v>
      </c>
      <c r="E576" s="456" t="s">
        <v>2333</v>
      </c>
      <c r="F576" s="457" t="s">
        <v>2334</v>
      </c>
      <c r="G576" s="458">
        <v>2080112.38</v>
      </c>
      <c r="H576" s="458">
        <v>7696696.2400000002</v>
      </c>
      <c r="I576" s="458">
        <v>-5616583.8600000003</v>
      </c>
      <c r="J576" s="456" t="s">
        <v>2335</v>
      </c>
      <c r="K576" s="456" t="s">
        <v>778</v>
      </c>
      <c r="L576" s="456" t="s">
        <v>164</v>
      </c>
    </row>
    <row r="577" spans="1:12" x14ac:dyDescent="0.2">
      <c r="A577" s="459" t="s">
        <v>848</v>
      </c>
      <c r="B577" s="459" t="s">
        <v>2323</v>
      </c>
      <c r="C577" s="459" t="s">
        <v>299</v>
      </c>
      <c r="D577" s="459" t="s">
        <v>299</v>
      </c>
      <c r="E577" s="459" t="s">
        <v>299</v>
      </c>
      <c r="F577" s="457" t="s">
        <v>2336</v>
      </c>
      <c r="G577" s="460">
        <v>7156161.4800000004</v>
      </c>
      <c r="H577" s="460">
        <v>40449439.140000001</v>
      </c>
      <c r="I577" s="460">
        <v>-33293277.66</v>
      </c>
      <c r="J577" s="459" t="s">
        <v>2337</v>
      </c>
      <c r="K577" s="459" t="s">
        <v>778</v>
      </c>
      <c r="L577" s="459" t="s">
        <v>164</v>
      </c>
    </row>
    <row r="578" spans="1:12" x14ac:dyDescent="0.2">
      <c r="A578" s="459" t="s">
        <v>1162</v>
      </c>
      <c r="B578" s="459" t="s">
        <v>2338</v>
      </c>
      <c r="C578" s="459" t="s">
        <v>299</v>
      </c>
      <c r="D578" s="459" t="s">
        <v>299</v>
      </c>
      <c r="E578" s="459" t="s">
        <v>299</v>
      </c>
      <c r="F578" s="457" t="s">
        <v>2339</v>
      </c>
      <c r="G578" s="460">
        <v>7156161.4800000004</v>
      </c>
      <c r="H578" s="460">
        <v>40449439.140000001</v>
      </c>
      <c r="I578" s="460">
        <v>-33293277.66</v>
      </c>
      <c r="J578" s="459" t="s">
        <v>2337</v>
      </c>
      <c r="K578" s="459" t="s">
        <v>778</v>
      </c>
      <c r="L578" s="459" t="s">
        <v>164</v>
      </c>
    </row>
    <row r="579" spans="1:12" x14ac:dyDescent="0.2">
      <c r="A579" s="456" t="s">
        <v>794</v>
      </c>
      <c r="B579" s="456" t="s">
        <v>2340</v>
      </c>
      <c r="C579" s="456" t="s">
        <v>780</v>
      </c>
      <c r="D579" s="456" t="s">
        <v>780</v>
      </c>
      <c r="E579" s="456" t="s">
        <v>2341</v>
      </c>
      <c r="F579" s="457" t="s">
        <v>2342</v>
      </c>
      <c r="G579" s="458">
        <v>598163.41</v>
      </c>
      <c r="H579" s="458">
        <v>71341140.560000002</v>
      </c>
      <c r="I579" s="458">
        <v>-70742977.150000006</v>
      </c>
      <c r="J579" s="456" t="s">
        <v>2343</v>
      </c>
      <c r="K579" s="456" t="s">
        <v>778</v>
      </c>
      <c r="L579" s="456" t="s">
        <v>164</v>
      </c>
    </row>
    <row r="580" spans="1:12" x14ac:dyDescent="0.2">
      <c r="A580" s="456" t="s">
        <v>794</v>
      </c>
      <c r="B580" s="456" t="s">
        <v>2340</v>
      </c>
      <c r="C580" s="456" t="s">
        <v>779</v>
      </c>
      <c r="D580" s="456" t="s">
        <v>1220</v>
      </c>
      <c r="E580" s="456" t="s">
        <v>2344</v>
      </c>
      <c r="F580" s="457" t="s">
        <v>2345</v>
      </c>
      <c r="G580" s="458">
        <v>82994.720000000001</v>
      </c>
      <c r="H580" s="461">
        <v>0</v>
      </c>
      <c r="I580" s="458">
        <v>82994.720000000001</v>
      </c>
      <c r="J580" s="456" t="s">
        <v>299</v>
      </c>
      <c r="K580" s="456" t="s">
        <v>778</v>
      </c>
      <c r="L580" s="456" t="s">
        <v>164</v>
      </c>
    </row>
    <row r="581" spans="1:12" x14ac:dyDescent="0.2">
      <c r="A581" s="459" t="s">
        <v>848</v>
      </c>
      <c r="B581" s="459" t="s">
        <v>2340</v>
      </c>
      <c r="C581" s="459" t="s">
        <v>299</v>
      </c>
      <c r="D581" s="459" t="s">
        <v>299</v>
      </c>
      <c r="E581" s="459" t="s">
        <v>299</v>
      </c>
      <c r="F581" s="457" t="s">
        <v>299</v>
      </c>
      <c r="G581" s="460">
        <v>681158.13</v>
      </c>
      <c r="H581" s="460">
        <v>71341140.560000002</v>
      </c>
      <c r="I581" s="460">
        <v>-70659982.430000007</v>
      </c>
      <c r="J581" s="459" t="s">
        <v>1531</v>
      </c>
      <c r="K581" s="459" t="s">
        <v>778</v>
      </c>
      <c r="L581" s="459" t="s">
        <v>164</v>
      </c>
    </row>
    <row r="582" spans="1:12" x14ac:dyDescent="0.2">
      <c r="A582" s="459" t="s">
        <v>1162</v>
      </c>
      <c r="B582" s="459" t="s">
        <v>2346</v>
      </c>
      <c r="C582" s="459" t="s">
        <v>299</v>
      </c>
      <c r="D582" s="459" t="s">
        <v>299</v>
      </c>
      <c r="E582" s="459" t="s">
        <v>299</v>
      </c>
      <c r="F582" s="457" t="s">
        <v>2347</v>
      </c>
      <c r="G582" s="460">
        <v>681158.13</v>
      </c>
      <c r="H582" s="460">
        <v>71341140.560000002</v>
      </c>
      <c r="I582" s="460">
        <v>-70659982.430000007</v>
      </c>
      <c r="J582" s="459" t="s">
        <v>1531</v>
      </c>
      <c r="K582" s="459" t="s">
        <v>778</v>
      </c>
      <c r="L582" s="459" t="s">
        <v>164</v>
      </c>
    </row>
    <row r="583" spans="1:12" x14ac:dyDescent="0.2">
      <c r="A583" s="459" t="s">
        <v>2001</v>
      </c>
      <c r="B583" s="459" t="s">
        <v>2348</v>
      </c>
      <c r="C583" s="459" t="s">
        <v>299</v>
      </c>
      <c r="D583" s="459" t="s">
        <v>299</v>
      </c>
      <c r="E583" s="459" t="s">
        <v>299</v>
      </c>
      <c r="F583" s="457" t="s">
        <v>2349</v>
      </c>
      <c r="G583" s="460">
        <v>7837319.6100000003</v>
      </c>
      <c r="H583" s="460">
        <v>111790579.7</v>
      </c>
      <c r="I583" s="460">
        <v>-103953260.09</v>
      </c>
      <c r="J583" s="459" t="s">
        <v>1110</v>
      </c>
      <c r="K583" s="459" t="s">
        <v>778</v>
      </c>
      <c r="L583" s="459" t="s">
        <v>164</v>
      </c>
    </row>
    <row r="584" spans="1:12" x14ac:dyDescent="0.2">
      <c r="A584" s="456" t="s">
        <v>848</v>
      </c>
      <c r="B584" s="456" t="s">
        <v>2350</v>
      </c>
      <c r="C584" s="456" t="s">
        <v>779</v>
      </c>
      <c r="D584" s="456" t="s">
        <v>1220</v>
      </c>
      <c r="E584" s="456" t="s">
        <v>2351</v>
      </c>
      <c r="F584" s="457" t="s">
        <v>2352</v>
      </c>
      <c r="G584" s="458">
        <v>3256307</v>
      </c>
      <c r="H584" s="461">
        <v>0</v>
      </c>
      <c r="I584" s="458">
        <v>3256307</v>
      </c>
      <c r="J584" s="456" t="s">
        <v>299</v>
      </c>
      <c r="K584" s="456" t="s">
        <v>778</v>
      </c>
      <c r="L584" s="456" t="s">
        <v>164</v>
      </c>
    </row>
    <row r="585" spans="1:12" x14ac:dyDescent="0.2">
      <c r="A585" s="459" t="s">
        <v>1162</v>
      </c>
      <c r="B585" s="459" t="s">
        <v>2350</v>
      </c>
      <c r="C585" s="459" t="s">
        <v>299</v>
      </c>
      <c r="D585" s="459" t="s">
        <v>299</v>
      </c>
      <c r="E585" s="459" t="s">
        <v>299</v>
      </c>
      <c r="F585" s="457" t="s">
        <v>2353</v>
      </c>
      <c r="G585" s="460">
        <v>3256307</v>
      </c>
      <c r="H585" s="462">
        <v>0</v>
      </c>
      <c r="I585" s="460">
        <v>3256307</v>
      </c>
      <c r="J585" s="459" t="s">
        <v>299</v>
      </c>
      <c r="K585" s="459" t="s">
        <v>778</v>
      </c>
      <c r="L585" s="459" t="s">
        <v>164</v>
      </c>
    </row>
    <row r="586" spans="1:12" x14ac:dyDescent="0.2">
      <c r="A586" s="459" t="s">
        <v>2001</v>
      </c>
      <c r="B586" s="459" t="s">
        <v>2354</v>
      </c>
      <c r="C586" s="459" t="s">
        <v>299</v>
      </c>
      <c r="D586" s="459" t="s">
        <v>299</v>
      </c>
      <c r="E586" s="459" t="s">
        <v>299</v>
      </c>
      <c r="F586" s="457" t="s">
        <v>2355</v>
      </c>
      <c r="G586" s="460">
        <v>3256307</v>
      </c>
      <c r="H586" s="462">
        <v>0</v>
      </c>
      <c r="I586" s="460">
        <v>3256307</v>
      </c>
      <c r="J586" s="459" t="s">
        <v>299</v>
      </c>
      <c r="K586" s="459" t="s">
        <v>778</v>
      </c>
      <c r="L586" s="459" t="s">
        <v>164</v>
      </c>
    </row>
    <row r="587" spans="1:12" x14ac:dyDescent="0.2">
      <c r="A587" s="459" t="s">
        <v>2027</v>
      </c>
      <c r="B587" s="459" t="s">
        <v>2356</v>
      </c>
      <c r="C587" s="459" t="s">
        <v>299</v>
      </c>
      <c r="D587" s="459" t="s">
        <v>299</v>
      </c>
      <c r="E587" s="459" t="s">
        <v>299</v>
      </c>
      <c r="F587" s="457" t="s">
        <v>2357</v>
      </c>
      <c r="G587" s="460">
        <v>1156612140.0599999</v>
      </c>
      <c r="H587" s="460">
        <v>1389643864.8900001</v>
      </c>
      <c r="I587" s="460">
        <v>-233031724.83000001</v>
      </c>
      <c r="J587" s="459" t="s">
        <v>2358</v>
      </c>
      <c r="K587" s="459" t="s">
        <v>778</v>
      </c>
      <c r="L587" s="459" t="s">
        <v>164</v>
      </c>
    </row>
    <row r="588" spans="1:12" x14ac:dyDescent="0.2">
      <c r="A588" s="456" t="s">
        <v>848</v>
      </c>
      <c r="B588" s="456" t="s">
        <v>2359</v>
      </c>
      <c r="C588" s="456" t="s">
        <v>2360</v>
      </c>
      <c r="D588" s="456" t="s">
        <v>1220</v>
      </c>
      <c r="E588" s="456" t="s">
        <v>2361</v>
      </c>
      <c r="F588" s="457" t="s">
        <v>2362</v>
      </c>
      <c r="G588" s="461">
        <v>0</v>
      </c>
      <c r="H588" s="458">
        <v>-8274.76</v>
      </c>
      <c r="I588" s="458">
        <v>8274.76</v>
      </c>
      <c r="J588" s="456" t="s">
        <v>810</v>
      </c>
      <c r="K588" s="456" t="s">
        <v>778</v>
      </c>
      <c r="L588" s="456" t="s">
        <v>164</v>
      </c>
    </row>
    <row r="589" spans="1:12" x14ac:dyDescent="0.2">
      <c r="A589" s="456" t="s">
        <v>848</v>
      </c>
      <c r="B589" s="456" t="s">
        <v>2359</v>
      </c>
      <c r="C589" s="456" t="s">
        <v>779</v>
      </c>
      <c r="D589" s="456" t="s">
        <v>1220</v>
      </c>
      <c r="E589" s="456" t="s">
        <v>2363</v>
      </c>
      <c r="F589" s="457" t="s">
        <v>2364</v>
      </c>
      <c r="G589" s="458">
        <v>1139.1300000000001</v>
      </c>
      <c r="H589" s="458">
        <v>1560.39</v>
      </c>
      <c r="I589" s="461">
        <v>-421.26</v>
      </c>
      <c r="J589" s="456" t="s">
        <v>2365</v>
      </c>
      <c r="K589" s="456" t="s">
        <v>778</v>
      </c>
      <c r="L589" s="456" t="s">
        <v>164</v>
      </c>
    </row>
    <row r="590" spans="1:12" x14ac:dyDescent="0.2">
      <c r="A590" s="456" t="s">
        <v>848</v>
      </c>
      <c r="B590" s="456" t="s">
        <v>2359</v>
      </c>
      <c r="C590" s="456" t="s">
        <v>779</v>
      </c>
      <c r="D590" s="456" t="s">
        <v>780</v>
      </c>
      <c r="E590" s="456" t="s">
        <v>2366</v>
      </c>
      <c r="F590" s="457" t="s">
        <v>2367</v>
      </c>
      <c r="G590" s="458">
        <v>335000</v>
      </c>
      <c r="H590" s="458">
        <v>335000</v>
      </c>
      <c r="I590" s="461">
        <v>0</v>
      </c>
      <c r="J590" s="456" t="s">
        <v>1484</v>
      </c>
      <c r="K590" s="456" t="s">
        <v>778</v>
      </c>
      <c r="L590" s="456" t="s">
        <v>164</v>
      </c>
    </row>
    <row r="591" spans="1:12" x14ac:dyDescent="0.2">
      <c r="A591" s="459" t="s">
        <v>1162</v>
      </c>
      <c r="B591" s="459" t="s">
        <v>2359</v>
      </c>
      <c r="C591" s="459" t="s">
        <v>299</v>
      </c>
      <c r="D591" s="459" t="s">
        <v>299</v>
      </c>
      <c r="E591" s="459" t="s">
        <v>299</v>
      </c>
      <c r="F591" s="457" t="s">
        <v>2368</v>
      </c>
      <c r="G591" s="460">
        <v>336139.13</v>
      </c>
      <c r="H591" s="460">
        <v>328285.63</v>
      </c>
      <c r="I591" s="460">
        <v>7853.5</v>
      </c>
      <c r="J591" s="459" t="s">
        <v>2369</v>
      </c>
      <c r="K591" s="459" t="s">
        <v>778</v>
      </c>
      <c r="L591" s="459" t="s">
        <v>164</v>
      </c>
    </row>
    <row r="592" spans="1:12" x14ac:dyDescent="0.2">
      <c r="A592" s="456" t="s">
        <v>794</v>
      </c>
      <c r="B592" s="456" t="s">
        <v>2370</v>
      </c>
      <c r="C592" s="456" t="s">
        <v>780</v>
      </c>
      <c r="D592" s="456" t="s">
        <v>780</v>
      </c>
      <c r="E592" s="456" t="s">
        <v>2371</v>
      </c>
      <c r="F592" s="457" t="s">
        <v>2372</v>
      </c>
      <c r="G592" s="458">
        <v>318360929.82999998</v>
      </c>
      <c r="H592" s="461">
        <v>0</v>
      </c>
      <c r="I592" s="458">
        <v>318360929.82999998</v>
      </c>
      <c r="J592" s="456" t="s">
        <v>299</v>
      </c>
      <c r="K592" s="456" t="s">
        <v>778</v>
      </c>
      <c r="L592" s="456" t="s">
        <v>164</v>
      </c>
    </row>
    <row r="593" spans="1:12" x14ac:dyDescent="0.2">
      <c r="A593" s="456" t="s">
        <v>794</v>
      </c>
      <c r="B593" s="456" t="s">
        <v>2370</v>
      </c>
      <c r="C593" s="456" t="s">
        <v>779</v>
      </c>
      <c r="D593" s="456" t="s">
        <v>1220</v>
      </c>
      <c r="E593" s="456" t="s">
        <v>2373</v>
      </c>
      <c r="F593" s="457" t="s">
        <v>2374</v>
      </c>
      <c r="G593" s="458">
        <v>224332457.12</v>
      </c>
      <c r="H593" s="461">
        <v>0</v>
      </c>
      <c r="I593" s="458">
        <v>224332457.12</v>
      </c>
      <c r="J593" s="456" t="s">
        <v>299</v>
      </c>
      <c r="K593" s="456" t="s">
        <v>778</v>
      </c>
      <c r="L593" s="456" t="s">
        <v>164</v>
      </c>
    </row>
    <row r="594" spans="1:12" x14ac:dyDescent="0.2">
      <c r="A594" s="456" t="s">
        <v>794</v>
      </c>
      <c r="B594" s="456" t="s">
        <v>2370</v>
      </c>
      <c r="C594" s="456" t="s">
        <v>779</v>
      </c>
      <c r="D594" s="456" t="s">
        <v>1220</v>
      </c>
      <c r="E594" s="456" t="s">
        <v>2375</v>
      </c>
      <c r="F594" s="457" t="s">
        <v>2376</v>
      </c>
      <c r="G594" s="458">
        <v>11749978.75</v>
      </c>
      <c r="H594" s="461">
        <v>0</v>
      </c>
      <c r="I594" s="458">
        <v>11749978.75</v>
      </c>
      <c r="J594" s="456" t="s">
        <v>299</v>
      </c>
      <c r="K594" s="456" t="s">
        <v>778</v>
      </c>
      <c r="L594" s="456" t="s">
        <v>164</v>
      </c>
    </row>
    <row r="595" spans="1:12" x14ac:dyDescent="0.2">
      <c r="A595" s="459" t="s">
        <v>848</v>
      </c>
      <c r="B595" s="459" t="s">
        <v>2370</v>
      </c>
      <c r="C595" s="459" t="s">
        <v>299</v>
      </c>
      <c r="D595" s="459" t="s">
        <v>299</v>
      </c>
      <c r="E595" s="459" t="s">
        <v>299</v>
      </c>
      <c r="F595" s="457" t="s">
        <v>2377</v>
      </c>
      <c r="G595" s="460">
        <v>554443365.70000005</v>
      </c>
      <c r="H595" s="462">
        <v>0</v>
      </c>
      <c r="I595" s="460">
        <v>554443365.70000005</v>
      </c>
      <c r="J595" s="459" t="s">
        <v>299</v>
      </c>
      <c r="K595" s="459" t="s">
        <v>778</v>
      </c>
      <c r="L595" s="459" t="s">
        <v>164</v>
      </c>
    </row>
    <row r="596" spans="1:12" x14ac:dyDescent="0.2">
      <c r="A596" s="459" t="s">
        <v>1162</v>
      </c>
      <c r="B596" s="459" t="s">
        <v>2378</v>
      </c>
      <c r="C596" s="459" t="s">
        <v>299</v>
      </c>
      <c r="D596" s="459" t="s">
        <v>299</v>
      </c>
      <c r="E596" s="459" t="s">
        <v>299</v>
      </c>
      <c r="F596" s="457" t="s">
        <v>2379</v>
      </c>
      <c r="G596" s="460">
        <v>554443365.70000005</v>
      </c>
      <c r="H596" s="462">
        <v>0</v>
      </c>
      <c r="I596" s="460">
        <v>554443365.70000005</v>
      </c>
      <c r="J596" s="459" t="s">
        <v>299</v>
      </c>
      <c r="K596" s="459" t="s">
        <v>778</v>
      </c>
      <c r="L596" s="459" t="s">
        <v>164</v>
      </c>
    </row>
    <row r="597" spans="1:12" x14ac:dyDescent="0.2">
      <c r="A597" s="456" t="s">
        <v>848</v>
      </c>
      <c r="B597" s="456" t="s">
        <v>2380</v>
      </c>
      <c r="C597" s="456" t="s">
        <v>779</v>
      </c>
      <c r="D597" s="456" t="s">
        <v>1220</v>
      </c>
      <c r="E597" s="456" t="s">
        <v>2381</v>
      </c>
      <c r="F597" s="457" t="s">
        <v>2382</v>
      </c>
      <c r="G597" s="458">
        <v>-160000</v>
      </c>
      <c r="H597" s="458">
        <v>-160000</v>
      </c>
      <c r="I597" s="461">
        <v>0</v>
      </c>
      <c r="J597" s="456" t="s">
        <v>1484</v>
      </c>
      <c r="K597" s="456" t="s">
        <v>778</v>
      </c>
      <c r="L597" s="456" t="s">
        <v>164</v>
      </c>
    </row>
    <row r="598" spans="1:12" x14ac:dyDescent="0.2">
      <c r="A598" s="459" t="s">
        <v>1162</v>
      </c>
      <c r="B598" s="459" t="s">
        <v>2380</v>
      </c>
      <c r="C598" s="459" t="s">
        <v>299</v>
      </c>
      <c r="D598" s="459" t="s">
        <v>299</v>
      </c>
      <c r="E598" s="459" t="s">
        <v>299</v>
      </c>
      <c r="F598" s="457" t="s">
        <v>2383</v>
      </c>
      <c r="G598" s="460">
        <v>-160000</v>
      </c>
      <c r="H598" s="460">
        <v>-160000</v>
      </c>
      <c r="I598" s="462">
        <v>0</v>
      </c>
      <c r="J598" s="459" t="s">
        <v>1484</v>
      </c>
      <c r="K598" s="459" t="s">
        <v>778</v>
      </c>
      <c r="L598" s="459" t="s">
        <v>164</v>
      </c>
    </row>
    <row r="599" spans="1:12" x14ac:dyDescent="0.2">
      <c r="A599" s="459" t="s">
        <v>2001</v>
      </c>
      <c r="B599" s="459" t="s">
        <v>2384</v>
      </c>
      <c r="C599" s="459" t="s">
        <v>299</v>
      </c>
      <c r="D599" s="459" t="s">
        <v>299</v>
      </c>
      <c r="E599" s="459" t="s">
        <v>299</v>
      </c>
      <c r="F599" s="457" t="s">
        <v>2385</v>
      </c>
      <c r="G599" s="460">
        <v>554619504.83000004</v>
      </c>
      <c r="H599" s="460">
        <v>168285.63</v>
      </c>
      <c r="I599" s="460">
        <v>554451219.20000005</v>
      </c>
      <c r="J599" s="459" t="s">
        <v>2386</v>
      </c>
      <c r="K599" s="459" t="s">
        <v>778</v>
      </c>
      <c r="L599" s="459" t="s">
        <v>164</v>
      </c>
    </row>
    <row r="600" spans="1:12" x14ac:dyDescent="0.2">
      <c r="A600" s="456" t="s">
        <v>1162</v>
      </c>
      <c r="B600" s="456" t="s">
        <v>2387</v>
      </c>
      <c r="C600" s="456" t="s">
        <v>779</v>
      </c>
      <c r="D600" s="456" t="s">
        <v>1220</v>
      </c>
      <c r="E600" s="456" t="s">
        <v>2388</v>
      </c>
      <c r="F600" s="457" t="s">
        <v>2389</v>
      </c>
      <c r="G600" s="461">
        <v>0</v>
      </c>
      <c r="H600" s="458">
        <v>2202274420.77</v>
      </c>
      <c r="I600" s="458">
        <v>-2202274420.77</v>
      </c>
      <c r="J600" s="456" t="s">
        <v>826</v>
      </c>
      <c r="K600" s="456" t="s">
        <v>778</v>
      </c>
      <c r="L600" s="456" t="s">
        <v>164</v>
      </c>
    </row>
    <row r="601" spans="1:12" x14ac:dyDescent="0.2">
      <c r="A601" s="456" t="s">
        <v>1162</v>
      </c>
      <c r="B601" s="456" t="s">
        <v>2387</v>
      </c>
      <c r="C601" s="456" t="s">
        <v>779</v>
      </c>
      <c r="D601" s="456" t="s">
        <v>1220</v>
      </c>
      <c r="E601" s="456" t="s">
        <v>2390</v>
      </c>
      <c r="F601" s="457" t="s">
        <v>2391</v>
      </c>
      <c r="G601" s="458">
        <v>2542433026.8899999</v>
      </c>
      <c r="H601" s="461">
        <v>0</v>
      </c>
      <c r="I601" s="458">
        <v>2542433026.8899999</v>
      </c>
      <c r="J601" s="456" t="s">
        <v>299</v>
      </c>
      <c r="K601" s="456" t="s">
        <v>778</v>
      </c>
      <c r="L601" s="456" t="s">
        <v>164</v>
      </c>
    </row>
    <row r="602" spans="1:12" x14ac:dyDescent="0.2">
      <c r="A602" s="459" t="s">
        <v>2001</v>
      </c>
      <c r="B602" s="459" t="s">
        <v>2387</v>
      </c>
      <c r="C602" s="459" t="s">
        <v>299</v>
      </c>
      <c r="D602" s="459" t="s">
        <v>299</v>
      </c>
      <c r="E602" s="459" t="s">
        <v>299</v>
      </c>
      <c r="F602" s="457" t="s">
        <v>2392</v>
      </c>
      <c r="G602" s="460">
        <v>2542433026.8899999</v>
      </c>
      <c r="H602" s="460">
        <v>2202274420.77</v>
      </c>
      <c r="I602" s="460">
        <v>340158606.12</v>
      </c>
      <c r="J602" s="459" t="s">
        <v>2393</v>
      </c>
      <c r="K602" s="459" t="s">
        <v>778</v>
      </c>
      <c r="L602" s="459" t="s">
        <v>164</v>
      </c>
    </row>
    <row r="603" spans="1:12" x14ac:dyDescent="0.2">
      <c r="A603" s="456" t="s">
        <v>848</v>
      </c>
      <c r="B603" s="456" t="s">
        <v>2394</v>
      </c>
      <c r="C603" s="456" t="s">
        <v>779</v>
      </c>
      <c r="D603" s="456" t="s">
        <v>780</v>
      </c>
      <c r="E603" s="456" t="s">
        <v>2395</v>
      </c>
      <c r="F603" s="457" t="s">
        <v>2396</v>
      </c>
      <c r="G603" s="458">
        <v>44516515.57</v>
      </c>
      <c r="H603" s="458">
        <v>44694726.57</v>
      </c>
      <c r="I603" s="458">
        <v>-178211</v>
      </c>
      <c r="J603" s="456" t="s">
        <v>2397</v>
      </c>
      <c r="K603" s="456" t="s">
        <v>778</v>
      </c>
      <c r="L603" s="456" t="s">
        <v>164</v>
      </c>
    </row>
    <row r="604" spans="1:12" x14ac:dyDescent="0.2">
      <c r="A604" s="456" t="s">
        <v>848</v>
      </c>
      <c r="B604" s="456" t="s">
        <v>2394</v>
      </c>
      <c r="C604" s="456" t="s">
        <v>779</v>
      </c>
      <c r="D604" s="456" t="s">
        <v>1220</v>
      </c>
      <c r="E604" s="456" t="s">
        <v>2398</v>
      </c>
      <c r="F604" s="457" t="s">
        <v>2399</v>
      </c>
      <c r="G604" s="458">
        <v>-2674948</v>
      </c>
      <c r="H604" s="461">
        <v>0</v>
      </c>
      <c r="I604" s="458">
        <v>-2674948</v>
      </c>
      <c r="J604" s="456" t="s">
        <v>299</v>
      </c>
      <c r="K604" s="456" t="s">
        <v>778</v>
      </c>
      <c r="L604" s="456" t="s">
        <v>164</v>
      </c>
    </row>
    <row r="605" spans="1:12" x14ac:dyDescent="0.2">
      <c r="A605" s="456" t="s">
        <v>848</v>
      </c>
      <c r="B605" s="456" t="s">
        <v>2394</v>
      </c>
      <c r="C605" s="456" t="s">
        <v>779</v>
      </c>
      <c r="D605" s="456" t="s">
        <v>780</v>
      </c>
      <c r="E605" s="456" t="s">
        <v>2400</v>
      </c>
      <c r="F605" s="457" t="s">
        <v>2401</v>
      </c>
      <c r="G605" s="458">
        <v>211282103.28</v>
      </c>
      <c r="H605" s="458">
        <v>209674480.96000001</v>
      </c>
      <c r="I605" s="458">
        <v>1607622.32</v>
      </c>
      <c r="J605" s="456" t="s">
        <v>2276</v>
      </c>
      <c r="K605" s="456" t="s">
        <v>778</v>
      </c>
      <c r="L605" s="456" t="s">
        <v>164</v>
      </c>
    </row>
    <row r="606" spans="1:12" x14ac:dyDescent="0.2">
      <c r="A606" s="456" t="s">
        <v>848</v>
      </c>
      <c r="B606" s="456" t="s">
        <v>2394</v>
      </c>
      <c r="C606" s="456" t="s">
        <v>779</v>
      </c>
      <c r="D606" s="456" t="s">
        <v>1220</v>
      </c>
      <c r="E606" s="456" t="s">
        <v>2402</v>
      </c>
      <c r="F606" s="457" t="s">
        <v>2403</v>
      </c>
      <c r="G606" s="458">
        <v>-2798</v>
      </c>
      <c r="H606" s="461">
        <v>0</v>
      </c>
      <c r="I606" s="458">
        <v>-2798</v>
      </c>
      <c r="J606" s="456" t="s">
        <v>299</v>
      </c>
      <c r="K606" s="456" t="s">
        <v>778</v>
      </c>
      <c r="L606" s="456" t="s">
        <v>164</v>
      </c>
    </row>
    <row r="607" spans="1:12" x14ac:dyDescent="0.2">
      <c r="A607" s="456" t="s">
        <v>848</v>
      </c>
      <c r="B607" s="456" t="s">
        <v>2394</v>
      </c>
      <c r="C607" s="456" t="s">
        <v>779</v>
      </c>
      <c r="D607" s="456" t="s">
        <v>780</v>
      </c>
      <c r="E607" s="456" t="s">
        <v>2404</v>
      </c>
      <c r="F607" s="457" t="s">
        <v>2405</v>
      </c>
      <c r="G607" s="458">
        <v>619704865.37</v>
      </c>
      <c r="H607" s="458">
        <v>596881926.38</v>
      </c>
      <c r="I607" s="458">
        <v>22822938.989999998</v>
      </c>
      <c r="J607" s="456" t="s">
        <v>2406</v>
      </c>
      <c r="K607" s="456" t="s">
        <v>778</v>
      </c>
      <c r="L607" s="456" t="s">
        <v>164</v>
      </c>
    </row>
    <row r="608" spans="1:12" x14ac:dyDescent="0.2">
      <c r="A608" s="459" t="s">
        <v>1162</v>
      </c>
      <c r="B608" s="459" t="s">
        <v>2394</v>
      </c>
      <c r="C608" s="459" t="s">
        <v>299</v>
      </c>
      <c r="D608" s="459" t="s">
        <v>299</v>
      </c>
      <c r="E608" s="459" t="s">
        <v>299</v>
      </c>
      <c r="F608" s="457" t="s">
        <v>2407</v>
      </c>
      <c r="G608" s="460">
        <v>872825738.22000003</v>
      </c>
      <c r="H608" s="460">
        <v>851251133.90999997</v>
      </c>
      <c r="I608" s="460">
        <v>21574604.309999999</v>
      </c>
      <c r="J608" s="459" t="s">
        <v>2408</v>
      </c>
      <c r="K608" s="459" t="s">
        <v>778</v>
      </c>
      <c r="L608" s="459" t="s">
        <v>164</v>
      </c>
    </row>
    <row r="609" spans="1:12" x14ac:dyDescent="0.2">
      <c r="A609" s="456" t="s">
        <v>848</v>
      </c>
      <c r="B609" s="456" t="s">
        <v>2409</v>
      </c>
      <c r="C609" s="456" t="s">
        <v>779</v>
      </c>
      <c r="D609" s="456" t="s">
        <v>780</v>
      </c>
      <c r="E609" s="456" t="s">
        <v>2410</v>
      </c>
      <c r="F609" s="457" t="s">
        <v>2411</v>
      </c>
      <c r="G609" s="458">
        <v>-111600596.54000001</v>
      </c>
      <c r="H609" s="458">
        <v>-109975159.68000001</v>
      </c>
      <c r="I609" s="458">
        <v>-1625436.86</v>
      </c>
      <c r="J609" s="456" t="s">
        <v>2412</v>
      </c>
      <c r="K609" s="456" t="s">
        <v>778</v>
      </c>
      <c r="L609" s="456" t="s">
        <v>164</v>
      </c>
    </row>
    <row r="610" spans="1:12" x14ac:dyDescent="0.2">
      <c r="A610" s="456" t="s">
        <v>848</v>
      </c>
      <c r="B610" s="456" t="s">
        <v>2409</v>
      </c>
      <c r="C610" s="456" t="s">
        <v>779</v>
      </c>
      <c r="D610" s="456" t="s">
        <v>780</v>
      </c>
      <c r="E610" s="456" t="s">
        <v>2413</v>
      </c>
      <c r="F610" s="457" t="s">
        <v>2414</v>
      </c>
      <c r="G610" s="458">
        <v>-793702.57</v>
      </c>
      <c r="H610" s="461">
        <v>0</v>
      </c>
      <c r="I610" s="458">
        <v>-793702.57</v>
      </c>
      <c r="J610" s="456" t="s">
        <v>299</v>
      </c>
      <c r="K610" s="456" t="s">
        <v>778</v>
      </c>
      <c r="L610" s="456" t="s">
        <v>164</v>
      </c>
    </row>
    <row r="611" spans="1:12" x14ac:dyDescent="0.2">
      <c r="A611" s="456" t="s">
        <v>848</v>
      </c>
      <c r="B611" s="456" t="s">
        <v>2409</v>
      </c>
      <c r="C611" s="456" t="s">
        <v>779</v>
      </c>
      <c r="D611" s="456" t="s">
        <v>780</v>
      </c>
      <c r="E611" s="456" t="s">
        <v>2415</v>
      </c>
      <c r="F611" s="457" t="s">
        <v>2416</v>
      </c>
      <c r="G611" s="458">
        <v>-288320738.38999999</v>
      </c>
      <c r="H611" s="458">
        <v>-277370025.86000001</v>
      </c>
      <c r="I611" s="458">
        <v>-10950712.529999999</v>
      </c>
      <c r="J611" s="456" t="s">
        <v>2417</v>
      </c>
      <c r="K611" s="456" t="s">
        <v>778</v>
      </c>
      <c r="L611" s="456" t="s">
        <v>164</v>
      </c>
    </row>
    <row r="612" spans="1:12" x14ac:dyDescent="0.2">
      <c r="A612" s="459" t="s">
        <v>1162</v>
      </c>
      <c r="B612" s="459" t="s">
        <v>2409</v>
      </c>
      <c r="C612" s="459" t="s">
        <v>299</v>
      </c>
      <c r="D612" s="459" t="s">
        <v>299</v>
      </c>
      <c r="E612" s="459" t="s">
        <v>299</v>
      </c>
      <c r="F612" s="457" t="s">
        <v>2418</v>
      </c>
      <c r="G612" s="460">
        <v>-400715037.5</v>
      </c>
      <c r="H612" s="460">
        <v>-387345185.54000002</v>
      </c>
      <c r="I612" s="460">
        <v>-13369851.960000001</v>
      </c>
      <c r="J612" s="459" t="s">
        <v>2419</v>
      </c>
      <c r="K612" s="459" t="s">
        <v>778</v>
      </c>
      <c r="L612" s="459" t="s">
        <v>164</v>
      </c>
    </row>
    <row r="613" spans="1:12" x14ac:dyDescent="0.2">
      <c r="A613" s="456" t="s">
        <v>794</v>
      </c>
      <c r="B613" s="456" t="s">
        <v>2420</v>
      </c>
      <c r="C613" s="456" t="s">
        <v>779</v>
      </c>
      <c r="D613" s="456" t="s">
        <v>780</v>
      </c>
      <c r="E613" s="456" t="s">
        <v>2421</v>
      </c>
      <c r="F613" s="457" t="s">
        <v>2422</v>
      </c>
      <c r="G613" s="458">
        <v>121587.2</v>
      </c>
      <c r="H613" s="458">
        <v>140232.20000000001</v>
      </c>
      <c r="I613" s="458">
        <v>-18645</v>
      </c>
      <c r="J613" s="456" t="s">
        <v>2423</v>
      </c>
      <c r="K613" s="456" t="s">
        <v>778</v>
      </c>
      <c r="L613" s="456" t="s">
        <v>164</v>
      </c>
    </row>
    <row r="614" spans="1:12" x14ac:dyDescent="0.2">
      <c r="A614" s="456" t="s">
        <v>794</v>
      </c>
      <c r="B614" s="456" t="s">
        <v>2420</v>
      </c>
      <c r="C614" s="456" t="s">
        <v>779</v>
      </c>
      <c r="D614" s="456" t="s">
        <v>780</v>
      </c>
      <c r="E614" s="456" t="s">
        <v>2424</v>
      </c>
      <c r="F614" s="457" t="s">
        <v>2425</v>
      </c>
      <c r="G614" s="458">
        <v>8557018.1300000008</v>
      </c>
      <c r="H614" s="458">
        <v>5148384.63</v>
      </c>
      <c r="I614" s="458">
        <v>3408633.5</v>
      </c>
      <c r="J614" s="456" t="s">
        <v>2426</v>
      </c>
      <c r="K614" s="456" t="s">
        <v>778</v>
      </c>
      <c r="L614" s="456" t="s">
        <v>164</v>
      </c>
    </row>
    <row r="615" spans="1:12" x14ac:dyDescent="0.2">
      <c r="A615" s="456" t="s">
        <v>794</v>
      </c>
      <c r="B615" s="456" t="s">
        <v>2420</v>
      </c>
      <c r="C615" s="456" t="s">
        <v>779</v>
      </c>
      <c r="D615" s="456" t="s">
        <v>780</v>
      </c>
      <c r="E615" s="456" t="s">
        <v>2427</v>
      </c>
      <c r="F615" s="457" t="s">
        <v>2428</v>
      </c>
      <c r="G615" s="458">
        <v>5041152.1100000003</v>
      </c>
      <c r="H615" s="458">
        <v>1296467.7</v>
      </c>
      <c r="I615" s="458">
        <v>3744684.41</v>
      </c>
      <c r="J615" s="456" t="s">
        <v>2222</v>
      </c>
      <c r="K615" s="456" t="s">
        <v>778</v>
      </c>
      <c r="L615" s="456" t="s">
        <v>164</v>
      </c>
    </row>
    <row r="616" spans="1:12" x14ac:dyDescent="0.2">
      <c r="A616" s="456" t="s">
        <v>794</v>
      </c>
      <c r="B616" s="456" t="s">
        <v>2420</v>
      </c>
      <c r="C616" s="456" t="s">
        <v>779</v>
      </c>
      <c r="D616" s="456" t="s">
        <v>780</v>
      </c>
      <c r="E616" s="456" t="s">
        <v>2429</v>
      </c>
      <c r="F616" s="457" t="s">
        <v>2430</v>
      </c>
      <c r="G616" s="458">
        <v>27151661.969999999</v>
      </c>
      <c r="H616" s="458">
        <v>38756112.109999999</v>
      </c>
      <c r="I616" s="458">
        <v>-11604450.140000001</v>
      </c>
      <c r="J616" s="456" t="s">
        <v>2431</v>
      </c>
      <c r="K616" s="456" t="s">
        <v>778</v>
      </c>
      <c r="L616" s="456" t="s">
        <v>164</v>
      </c>
    </row>
    <row r="617" spans="1:12" x14ac:dyDescent="0.2">
      <c r="A617" s="456" t="s">
        <v>794</v>
      </c>
      <c r="B617" s="456" t="s">
        <v>2420</v>
      </c>
      <c r="C617" s="456" t="s">
        <v>779</v>
      </c>
      <c r="D617" s="456" t="s">
        <v>780</v>
      </c>
      <c r="E617" s="456" t="s">
        <v>2432</v>
      </c>
      <c r="F617" s="457" t="s">
        <v>2433</v>
      </c>
      <c r="G617" s="458">
        <v>1956202.43</v>
      </c>
      <c r="H617" s="458">
        <v>6151775.5899999999</v>
      </c>
      <c r="I617" s="458">
        <v>-4195573.16</v>
      </c>
      <c r="J617" s="456" t="s">
        <v>1236</v>
      </c>
      <c r="K617" s="456" t="s">
        <v>778</v>
      </c>
      <c r="L617" s="456" t="s">
        <v>164</v>
      </c>
    </row>
    <row r="618" spans="1:12" x14ac:dyDescent="0.2">
      <c r="A618" s="456" t="s">
        <v>794</v>
      </c>
      <c r="B618" s="456" t="s">
        <v>2420</v>
      </c>
      <c r="C618" s="456" t="s">
        <v>779</v>
      </c>
      <c r="D618" s="456" t="s">
        <v>780</v>
      </c>
      <c r="E618" s="456" t="s">
        <v>2434</v>
      </c>
      <c r="F618" s="457" t="s">
        <v>2435</v>
      </c>
      <c r="G618" s="458">
        <v>26055812.440000001</v>
      </c>
      <c r="H618" s="458">
        <v>29048537.82</v>
      </c>
      <c r="I618" s="458">
        <v>-2992725.38</v>
      </c>
      <c r="J618" s="456" t="s">
        <v>2436</v>
      </c>
      <c r="K618" s="456" t="s">
        <v>778</v>
      </c>
      <c r="L618" s="456" t="s">
        <v>164</v>
      </c>
    </row>
    <row r="619" spans="1:12" x14ac:dyDescent="0.2">
      <c r="A619" s="459" t="s">
        <v>848</v>
      </c>
      <c r="B619" s="459" t="s">
        <v>2420</v>
      </c>
      <c r="C619" s="459" t="s">
        <v>299</v>
      </c>
      <c r="D619" s="459" t="s">
        <v>299</v>
      </c>
      <c r="E619" s="459" t="s">
        <v>299</v>
      </c>
      <c r="F619" s="457" t="s">
        <v>2437</v>
      </c>
      <c r="G619" s="460">
        <v>68883434.280000001</v>
      </c>
      <c r="H619" s="460">
        <v>80541510.049999997</v>
      </c>
      <c r="I619" s="460">
        <v>-11658075.77</v>
      </c>
      <c r="J619" s="459" t="s">
        <v>2438</v>
      </c>
      <c r="K619" s="459" t="s">
        <v>778</v>
      </c>
      <c r="L619" s="459" t="s">
        <v>164</v>
      </c>
    </row>
    <row r="620" spans="1:12" x14ac:dyDescent="0.2">
      <c r="A620" s="459" t="s">
        <v>1162</v>
      </c>
      <c r="B620" s="459" t="s">
        <v>2439</v>
      </c>
      <c r="C620" s="459" t="s">
        <v>299</v>
      </c>
      <c r="D620" s="459" t="s">
        <v>299</v>
      </c>
      <c r="E620" s="459" t="s">
        <v>299</v>
      </c>
      <c r="F620" s="457" t="s">
        <v>2440</v>
      </c>
      <c r="G620" s="460">
        <v>68883434.280000001</v>
      </c>
      <c r="H620" s="460">
        <v>80541510.049999997</v>
      </c>
      <c r="I620" s="460">
        <v>-11658075.77</v>
      </c>
      <c r="J620" s="459" t="s">
        <v>2438</v>
      </c>
      <c r="K620" s="459" t="s">
        <v>778</v>
      </c>
      <c r="L620" s="459" t="s">
        <v>164</v>
      </c>
    </row>
    <row r="621" spans="1:12" x14ac:dyDescent="0.2">
      <c r="A621" s="459" t="s">
        <v>2001</v>
      </c>
      <c r="B621" s="459" t="s">
        <v>2441</v>
      </c>
      <c r="C621" s="459" t="s">
        <v>299</v>
      </c>
      <c r="D621" s="459" t="s">
        <v>299</v>
      </c>
      <c r="E621" s="459" t="s">
        <v>299</v>
      </c>
      <c r="F621" s="457" t="s">
        <v>2442</v>
      </c>
      <c r="G621" s="460">
        <v>540994135</v>
      </c>
      <c r="H621" s="460">
        <v>544447458.41999996</v>
      </c>
      <c r="I621" s="460">
        <v>-3453323.42</v>
      </c>
      <c r="J621" s="459" t="s">
        <v>2443</v>
      </c>
      <c r="K621" s="459" t="s">
        <v>778</v>
      </c>
      <c r="L621" s="459" t="s">
        <v>164</v>
      </c>
    </row>
    <row r="622" spans="1:12" x14ac:dyDescent="0.2">
      <c r="A622" s="456" t="s">
        <v>848</v>
      </c>
      <c r="B622" s="456" t="s">
        <v>2444</v>
      </c>
      <c r="C622" s="456" t="s">
        <v>779</v>
      </c>
      <c r="D622" s="456" t="s">
        <v>780</v>
      </c>
      <c r="E622" s="456" t="s">
        <v>2445</v>
      </c>
      <c r="F622" s="457" t="s">
        <v>2446</v>
      </c>
      <c r="G622" s="458">
        <v>418157.34</v>
      </c>
      <c r="H622" s="458">
        <v>369017.48</v>
      </c>
      <c r="I622" s="458">
        <v>49139.86</v>
      </c>
      <c r="J622" s="456" t="s">
        <v>2447</v>
      </c>
      <c r="K622" s="456" t="s">
        <v>778</v>
      </c>
      <c r="L622" s="456" t="s">
        <v>164</v>
      </c>
    </row>
    <row r="623" spans="1:12" x14ac:dyDescent="0.2">
      <c r="A623" s="456" t="s">
        <v>848</v>
      </c>
      <c r="B623" s="456" t="s">
        <v>2444</v>
      </c>
      <c r="C623" s="456" t="s">
        <v>780</v>
      </c>
      <c r="D623" s="456" t="s">
        <v>780</v>
      </c>
      <c r="E623" s="456" t="s">
        <v>2448</v>
      </c>
      <c r="F623" s="457" t="s">
        <v>2449</v>
      </c>
      <c r="G623" s="458">
        <v>196881781</v>
      </c>
      <c r="H623" s="458">
        <v>196881781</v>
      </c>
      <c r="I623" s="461">
        <v>0</v>
      </c>
      <c r="J623" s="456" t="s">
        <v>1484</v>
      </c>
      <c r="K623" s="456" t="s">
        <v>778</v>
      </c>
      <c r="L623" s="456" t="s">
        <v>164</v>
      </c>
    </row>
    <row r="624" spans="1:12" x14ac:dyDescent="0.2">
      <c r="A624" s="456" t="s">
        <v>848</v>
      </c>
      <c r="B624" s="456" t="s">
        <v>2444</v>
      </c>
      <c r="C624" s="456" t="s">
        <v>779</v>
      </c>
      <c r="D624" s="456" t="s">
        <v>780</v>
      </c>
      <c r="E624" s="456" t="s">
        <v>2450</v>
      </c>
      <c r="F624" s="457" t="s">
        <v>2451</v>
      </c>
      <c r="G624" s="461">
        <v>0</v>
      </c>
      <c r="H624" s="461">
        <v>-70</v>
      </c>
      <c r="I624" s="461">
        <v>70</v>
      </c>
      <c r="J624" s="456" t="s">
        <v>810</v>
      </c>
      <c r="K624" s="456" t="s">
        <v>778</v>
      </c>
      <c r="L624" s="456" t="s">
        <v>164</v>
      </c>
    </row>
    <row r="625" spans="1:12" x14ac:dyDescent="0.2">
      <c r="A625" s="456" t="s">
        <v>848</v>
      </c>
      <c r="B625" s="456" t="s">
        <v>2444</v>
      </c>
      <c r="C625" s="456" t="s">
        <v>779</v>
      </c>
      <c r="D625" s="456" t="s">
        <v>780</v>
      </c>
      <c r="E625" s="456" t="s">
        <v>2452</v>
      </c>
      <c r="F625" s="457" t="s">
        <v>2453</v>
      </c>
      <c r="G625" s="458">
        <v>17272189.82</v>
      </c>
      <c r="H625" s="458">
        <v>17169437.280000001</v>
      </c>
      <c r="I625" s="458">
        <v>102752.54</v>
      </c>
      <c r="J625" s="456" t="s">
        <v>2454</v>
      </c>
      <c r="K625" s="456" t="s">
        <v>778</v>
      </c>
      <c r="L625" s="456" t="s">
        <v>164</v>
      </c>
    </row>
    <row r="626" spans="1:12" x14ac:dyDescent="0.2">
      <c r="A626" s="459" t="s">
        <v>1162</v>
      </c>
      <c r="B626" s="459" t="s">
        <v>2444</v>
      </c>
      <c r="C626" s="459" t="s">
        <v>299</v>
      </c>
      <c r="D626" s="459" t="s">
        <v>299</v>
      </c>
      <c r="E626" s="459" t="s">
        <v>299</v>
      </c>
      <c r="F626" s="457" t="s">
        <v>2455</v>
      </c>
      <c r="G626" s="460">
        <v>214572128.16</v>
      </c>
      <c r="H626" s="460">
        <v>214420165.75999999</v>
      </c>
      <c r="I626" s="460">
        <v>151962.4</v>
      </c>
      <c r="J626" s="459" t="s">
        <v>2313</v>
      </c>
      <c r="K626" s="459" t="s">
        <v>778</v>
      </c>
      <c r="L626" s="459" t="s">
        <v>164</v>
      </c>
    </row>
    <row r="627" spans="1:12" x14ac:dyDescent="0.2">
      <c r="A627" s="456" t="s">
        <v>848</v>
      </c>
      <c r="B627" s="456" t="s">
        <v>2456</v>
      </c>
      <c r="C627" s="456" t="s">
        <v>780</v>
      </c>
      <c r="D627" s="456" t="s">
        <v>780</v>
      </c>
      <c r="E627" s="456" t="s">
        <v>2457</v>
      </c>
      <c r="F627" s="457" t="s">
        <v>2458</v>
      </c>
      <c r="G627" s="458">
        <v>-13073385.52</v>
      </c>
      <c r="H627" s="458">
        <v>-13073385.52</v>
      </c>
      <c r="I627" s="461">
        <v>0</v>
      </c>
      <c r="J627" s="456" t="s">
        <v>1484</v>
      </c>
      <c r="K627" s="456" t="s">
        <v>778</v>
      </c>
      <c r="L627" s="456" t="s">
        <v>164</v>
      </c>
    </row>
    <row r="628" spans="1:12" x14ac:dyDescent="0.2">
      <c r="A628" s="456" t="s">
        <v>848</v>
      </c>
      <c r="B628" s="456" t="s">
        <v>2456</v>
      </c>
      <c r="C628" s="456" t="s">
        <v>779</v>
      </c>
      <c r="D628" s="456" t="s">
        <v>780</v>
      </c>
      <c r="E628" s="456" t="s">
        <v>2459</v>
      </c>
      <c r="F628" s="457" t="s">
        <v>2460</v>
      </c>
      <c r="G628" s="458">
        <v>-12212886.960000001</v>
      </c>
      <c r="H628" s="458">
        <v>-10942515.630000001</v>
      </c>
      <c r="I628" s="458">
        <v>-1270371.33</v>
      </c>
      <c r="J628" s="456" t="s">
        <v>2461</v>
      </c>
      <c r="K628" s="456" t="s">
        <v>778</v>
      </c>
      <c r="L628" s="456" t="s">
        <v>164</v>
      </c>
    </row>
    <row r="629" spans="1:12" x14ac:dyDescent="0.2">
      <c r="A629" s="459" t="s">
        <v>1162</v>
      </c>
      <c r="B629" s="459" t="s">
        <v>2456</v>
      </c>
      <c r="C629" s="459" t="s">
        <v>299</v>
      </c>
      <c r="D629" s="459" t="s">
        <v>299</v>
      </c>
      <c r="E629" s="459" t="s">
        <v>299</v>
      </c>
      <c r="F629" s="457" t="s">
        <v>2462</v>
      </c>
      <c r="G629" s="460">
        <v>-25286272.48</v>
      </c>
      <c r="H629" s="460">
        <v>-24015901.149999999</v>
      </c>
      <c r="I629" s="460">
        <v>-1270371.33</v>
      </c>
      <c r="J629" s="459" t="s">
        <v>2463</v>
      </c>
      <c r="K629" s="459" t="s">
        <v>778</v>
      </c>
      <c r="L629" s="459" t="s">
        <v>164</v>
      </c>
    </row>
    <row r="630" spans="1:12" x14ac:dyDescent="0.2">
      <c r="A630" s="459" t="s">
        <v>2001</v>
      </c>
      <c r="B630" s="459" t="s">
        <v>2464</v>
      </c>
      <c r="C630" s="459" t="s">
        <v>299</v>
      </c>
      <c r="D630" s="459" t="s">
        <v>299</v>
      </c>
      <c r="E630" s="459" t="s">
        <v>299</v>
      </c>
      <c r="F630" s="457" t="s">
        <v>2465</v>
      </c>
      <c r="G630" s="460">
        <v>189285855.68000001</v>
      </c>
      <c r="H630" s="460">
        <v>190404264.61000001</v>
      </c>
      <c r="I630" s="460">
        <v>-1118408.93</v>
      </c>
      <c r="J630" s="459" t="s">
        <v>2443</v>
      </c>
      <c r="K630" s="459" t="s">
        <v>778</v>
      </c>
      <c r="L630" s="459" t="s">
        <v>164</v>
      </c>
    </row>
    <row r="631" spans="1:12" x14ac:dyDescent="0.2">
      <c r="A631" s="456" t="s">
        <v>848</v>
      </c>
      <c r="B631" s="456" t="s">
        <v>2466</v>
      </c>
      <c r="C631" s="456" t="s">
        <v>780</v>
      </c>
      <c r="D631" s="456" t="s">
        <v>780</v>
      </c>
      <c r="E631" s="456" t="s">
        <v>2467</v>
      </c>
      <c r="F631" s="457" t="s">
        <v>2468</v>
      </c>
      <c r="G631" s="458">
        <v>4060904.76</v>
      </c>
      <c r="H631" s="458">
        <v>51914995.210000001</v>
      </c>
      <c r="I631" s="458">
        <v>-47854090.450000003</v>
      </c>
      <c r="J631" s="456" t="s">
        <v>2469</v>
      </c>
      <c r="K631" s="456" t="s">
        <v>778</v>
      </c>
      <c r="L631" s="456" t="s">
        <v>164</v>
      </c>
    </row>
    <row r="632" spans="1:12" x14ac:dyDescent="0.2">
      <c r="A632" s="456" t="s">
        <v>848</v>
      </c>
      <c r="B632" s="456" t="s">
        <v>2466</v>
      </c>
      <c r="C632" s="456" t="s">
        <v>780</v>
      </c>
      <c r="D632" s="456" t="s">
        <v>780</v>
      </c>
      <c r="E632" s="456" t="s">
        <v>2470</v>
      </c>
      <c r="F632" s="457" t="s">
        <v>2471</v>
      </c>
      <c r="G632" s="458">
        <v>38806842.479999997</v>
      </c>
      <c r="H632" s="458">
        <v>36047256.859999999</v>
      </c>
      <c r="I632" s="458">
        <v>2759585.62</v>
      </c>
      <c r="J632" s="456" t="s">
        <v>2163</v>
      </c>
      <c r="K632" s="456" t="s">
        <v>778</v>
      </c>
      <c r="L632" s="456" t="s">
        <v>164</v>
      </c>
    </row>
    <row r="633" spans="1:12" x14ac:dyDescent="0.2">
      <c r="A633" s="456" t="s">
        <v>848</v>
      </c>
      <c r="B633" s="456" t="s">
        <v>2466</v>
      </c>
      <c r="C633" s="456" t="s">
        <v>779</v>
      </c>
      <c r="D633" s="456" t="s">
        <v>1220</v>
      </c>
      <c r="E633" s="456" t="s">
        <v>2472</v>
      </c>
      <c r="F633" s="457" t="s">
        <v>2473</v>
      </c>
      <c r="G633" s="461">
        <v>0</v>
      </c>
      <c r="H633" s="458">
        <v>-396000</v>
      </c>
      <c r="I633" s="458">
        <v>396000</v>
      </c>
      <c r="J633" s="456" t="s">
        <v>810</v>
      </c>
      <c r="K633" s="456" t="s">
        <v>778</v>
      </c>
      <c r="L633" s="456" t="s">
        <v>164</v>
      </c>
    </row>
    <row r="634" spans="1:12" x14ac:dyDescent="0.2">
      <c r="A634" s="459" t="s">
        <v>1162</v>
      </c>
      <c r="B634" s="459" t="s">
        <v>2466</v>
      </c>
      <c r="C634" s="459" t="s">
        <v>299</v>
      </c>
      <c r="D634" s="459" t="s">
        <v>299</v>
      </c>
      <c r="E634" s="459" t="s">
        <v>299</v>
      </c>
      <c r="F634" s="457" t="s">
        <v>2474</v>
      </c>
      <c r="G634" s="460">
        <v>42867747.240000002</v>
      </c>
      <c r="H634" s="460">
        <v>87566252.069999993</v>
      </c>
      <c r="I634" s="460">
        <v>-44698504.829999998</v>
      </c>
      <c r="J634" s="459" t="s">
        <v>2475</v>
      </c>
      <c r="K634" s="459" t="s">
        <v>778</v>
      </c>
      <c r="L634" s="459" t="s">
        <v>164</v>
      </c>
    </row>
    <row r="635" spans="1:12" x14ac:dyDescent="0.2">
      <c r="A635" s="459" t="s">
        <v>2001</v>
      </c>
      <c r="B635" s="459" t="s">
        <v>2476</v>
      </c>
      <c r="C635" s="459" t="s">
        <v>299</v>
      </c>
      <c r="D635" s="459" t="s">
        <v>299</v>
      </c>
      <c r="E635" s="459" t="s">
        <v>299</v>
      </c>
      <c r="F635" s="457" t="s">
        <v>2477</v>
      </c>
      <c r="G635" s="460">
        <v>42867747.240000002</v>
      </c>
      <c r="H635" s="460">
        <v>87566252.069999993</v>
      </c>
      <c r="I635" s="460">
        <v>-44698504.829999998</v>
      </c>
      <c r="J635" s="459" t="s">
        <v>2475</v>
      </c>
      <c r="K635" s="459" t="s">
        <v>778</v>
      </c>
      <c r="L635" s="459" t="s">
        <v>164</v>
      </c>
    </row>
    <row r="636" spans="1:12" x14ac:dyDescent="0.2">
      <c r="A636" s="456" t="s">
        <v>848</v>
      </c>
      <c r="B636" s="456" t="s">
        <v>2478</v>
      </c>
      <c r="C636" s="456" t="s">
        <v>779</v>
      </c>
      <c r="D636" s="456" t="s">
        <v>1220</v>
      </c>
      <c r="E636" s="456" t="s">
        <v>2479</v>
      </c>
      <c r="F636" s="457" t="s">
        <v>2480</v>
      </c>
      <c r="G636" s="458">
        <v>16327608.41</v>
      </c>
      <c r="H636" s="458">
        <v>62035.86</v>
      </c>
      <c r="I636" s="458">
        <v>16265572.550000001</v>
      </c>
      <c r="J636" s="456" t="s">
        <v>2481</v>
      </c>
      <c r="K636" s="456" t="s">
        <v>778</v>
      </c>
      <c r="L636" s="456" t="s">
        <v>164</v>
      </c>
    </row>
    <row r="637" spans="1:12" x14ac:dyDescent="0.2">
      <c r="A637" s="459" t="s">
        <v>1162</v>
      </c>
      <c r="B637" s="459" t="s">
        <v>2478</v>
      </c>
      <c r="C637" s="459" t="s">
        <v>299</v>
      </c>
      <c r="D637" s="459" t="s">
        <v>299</v>
      </c>
      <c r="E637" s="459" t="s">
        <v>299</v>
      </c>
      <c r="F637" s="457" t="s">
        <v>2482</v>
      </c>
      <c r="G637" s="460">
        <v>16327608.41</v>
      </c>
      <c r="H637" s="460">
        <v>62035.86</v>
      </c>
      <c r="I637" s="460">
        <v>16265572.550000001</v>
      </c>
      <c r="J637" s="459" t="s">
        <v>2481</v>
      </c>
      <c r="K637" s="459" t="s">
        <v>778</v>
      </c>
      <c r="L637" s="459" t="s">
        <v>164</v>
      </c>
    </row>
    <row r="638" spans="1:12" x14ac:dyDescent="0.2">
      <c r="A638" s="459" t="s">
        <v>2001</v>
      </c>
      <c r="B638" s="459" t="s">
        <v>2483</v>
      </c>
      <c r="C638" s="459" t="s">
        <v>299</v>
      </c>
      <c r="D638" s="459" t="s">
        <v>299</v>
      </c>
      <c r="E638" s="459" t="s">
        <v>299</v>
      </c>
      <c r="F638" s="457" t="s">
        <v>2484</v>
      </c>
      <c r="G638" s="460">
        <v>16327608.41</v>
      </c>
      <c r="H638" s="460">
        <v>62035.86</v>
      </c>
      <c r="I638" s="460">
        <v>16265572.550000001</v>
      </c>
      <c r="J638" s="459" t="s">
        <v>2481</v>
      </c>
      <c r="K638" s="459" t="s">
        <v>778</v>
      </c>
      <c r="L638" s="459" t="s">
        <v>164</v>
      </c>
    </row>
    <row r="639" spans="1:12" x14ac:dyDescent="0.2">
      <c r="A639" s="459" t="s">
        <v>2027</v>
      </c>
      <c r="B639" s="459" t="s">
        <v>2485</v>
      </c>
      <c r="C639" s="459" t="s">
        <v>299</v>
      </c>
      <c r="D639" s="459" t="s">
        <v>299</v>
      </c>
      <c r="E639" s="459" t="s">
        <v>299</v>
      </c>
      <c r="F639" s="457" t="s">
        <v>2486</v>
      </c>
      <c r="G639" s="460">
        <v>3886527878.0500002</v>
      </c>
      <c r="H639" s="460">
        <v>3024922717.3600001</v>
      </c>
      <c r="I639" s="460">
        <v>861605160.69000006</v>
      </c>
      <c r="J639" s="459" t="s">
        <v>2487</v>
      </c>
      <c r="K639" s="459" t="s">
        <v>778</v>
      </c>
      <c r="L639" s="459" t="s">
        <v>164</v>
      </c>
    </row>
    <row r="640" spans="1:12" x14ac:dyDescent="0.2">
      <c r="A640" s="459" t="s">
        <v>2106</v>
      </c>
      <c r="B640" s="459" t="s">
        <v>2488</v>
      </c>
      <c r="C640" s="459" t="s">
        <v>299</v>
      </c>
      <c r="D640" s="459" t="s">
        <v>299</v>
      </c>
      <c r="E640" s="459" t="s">
        <v>299</v>
      </c>
      <c r="F640" s="457" t="s">
        <v>2489</v>
      </c>
      <c r="G640" s="460">
        <v>5043140018.1099997</v>
      </c>
      <c r="H640" s="460">
        <v>4414566582.25</v>
      </c>
      <c r="I640" s="460">
        <v>628573435.86000001</v>
      </c>
      <c r="J640" s="459" t="s">
        <v>2490</v>
      </c>
      <c r="K640" s="459" t="s">
        <v>778</v>
      </c>
      <c r="L640" s="459" t="s">
        <v>164</v>
      </c>
    </row>
    <row r="641" spans="1:12" x14ac:dyDescent="0.2">
      <c r="A641" s="456" t="s">
        <v>778</v>
      </c>
      <c r="B641" s="456" t="s">
        <v>2491</v>
      </c>
      <c r="C641" s="456" t="s">
        <v>779</v>
      </c>
      <c r="D641" s="456" t="s">
        <v>780</v>
      </c>
      <c r="E641" s="456" t="s">
        <v>2492</v>
      </c>
      <c r="F641" s="457" t="s">
        <v>2493</v>
      </c>
      <c r="G641" s="458">
        <v>-121587.2</v>
      </c>
      <c r="H641" s="458">
        <v>-140232.20000000001</v>
      </c>
      <c r="I641" s="458">
        <v>18645</v>
      </c>
      <c r="J641" s="456" t="s">
        <v>2447</v>
      </c>
      <c r="K641" s="456" t="s">
        <v>778</v>
      </c>
      <c r="L641" s="456" t="s">
        <v>164</v>
      </c>
    </row>
    <row r="642" spans="1:12" x14ac:dyDescent="0.2">
      <c r="A642" s="456" t="s">
        <v>778</v>
      </c>
      <c r="B642" s="456" t="s">
        <v>2491</v>
      </c>
      <c r="C642" s="456" t="s">
        <v>779</v>
      </c>
      <c r="D642" s="456" t="s">
        <v>780</v>
      </c>
      <c r="E642" s="456" t="s">
        <v>2494</v>
      </c>
      <c r="F642" s="457" t="s">
        <v>2495</v>
      </c>
      <c r="G642" s="458">
        <v>-204654528.27000001</v>
      </c>
      <c r="H642" s="458">
        <v>-387373129.33999997</v>
      </c>
      <c r="I642" s="458">
        <v>182718601.06999999</v>
      </c>
      <c r="J642" s="456" t="s">
        <v>1936</v>
      </c>
      <c r="K642" s="456" t="s">
        <v>778</v>
      </c>
      <c r="L642" s="456" t="s">
        <v>164</v>
      </c>
    </row>
    <row r="643" spans="1:12" x14ac:dyDescent="0.2">
      <c r="A643" s="456" t="s">
        <v>778</v>
      </c>
      <c r="B643" s="456" t="s">
        <v>2491</v>
      </c>
      <c r="C643" s="456" t="s">
        <v>779</v>
      </c>
      <c r="D643" s="456" t="s">
        <v>780</v>
      </c>
      <c r="E643" s="456" t="s">
        <v>2496</v>
      </c>
      <c r="F643" s="457" t="s">
        <v>2497</v>
      </c>
      <c r="G643" s="458">
        <v>595977.02</v>
      </c>
      <c r="H643" s="458">
        <v>647127.16</v>
      </c>
      <c r="I643" s="458">
        <v>-51150.14</v>
      </c>
      <c r="J643" s="456" t="s">
        <v>2498</v>
      </c>
      <c r="K643" s="456" t="s">
        <v>778</v>
      </c>
      <c r="L643" s="456" t="s">
        <v>164</v>
      </c>
    </row>
    <row r="644" spans="1:12" x14ac:dyDescent="0.2">
      <c r="A644" s="456" t="s">
        <v>778</v>
      </c>
      <c r="B644" s="456" t="s">
        <v>2491</v>
      </c>
      <c r="C644" s="456" t="s">
        <v>779</v>
      </c>
      <c r="D644" s="456" t="s">
        <v>780</v>
      </c>
      <c r="E644" s="456" t="s">
        <v>2499</v>
      </c>
      <c r="F644" s="457" t="s">
        <v>2500</v>
      </c>
      <c r="G644" s="458">
        <v>-1061213.24</v>
      </c>
      <c r="H644" s="458">
        <v>-1329094.58</v>
      </c>
      <c r="I644" s="458">
        <v>267881.34000000003</v>
      </c>
      <c r="J644" s="456" t="s">
        <v>2501</v>
      </c>
      <c r="K644" s="456" t="s">
        <v>778</v>
      </c>
      <c r="L644" s="456" t="s">
        <v>164</v>
      </c>
    </row>
    <row r="645" spans="1:12" x14ac:dyDescent="0.2">
      <c r="A645" s="456" t="s">
        <v>778</v>
      </c>
      <c r="B645" s="456" t="s">
        <v>2491</v>
      </c>
      <c r="C645" s="456" t="s">
        <v>779</v>
      </c>
      <c r="D645" s="456" t="s">
        <v>784</v>
      </c>
      <c r="E645" s="456" t="s">
        <v>2502</v>
      </c>
      <c r="F645" s="457" t="s">
        <v>2503</v>
      </c>
      <c r="G645" s="458">
        <v>-4258379.5</v>
      </c>
      <c r="H645" s="458">
        <v>-5522270.4100000001</v>
      </c>
      <c r="I645" s="458">
        <v>1263890.9099999999</v>
      </c>
      <c r="J645" s="456" t="s">
        <v>2504</v>
      </c>
      <c r="K645" s="456" t="s">
        <v>778</v>
      </c>
      <c r="L645" s="456" t="s">
        <v>164</v>
      </c>
    </row>
    <row r="646" spans="1:12" x14ac:dyDescent="0.2">
      <c r="A646" s="456" t="s">
        <v>778</v>
      </c>
      <c r="B646" s="456" t="s">
        <v>2491</v>
      </c>
      <c r="C646" s="456" t="s">
        <v>779</v>
      </c>
      <c r="D646" s="456" t="s">
        <v>780</v>
      </c>
      <c r="E646" s="456" t="s">
        <v>2505</v>
      </c>
      <c r="F646" s="457" t="s">
        <v>2506</v>
      </c>
      <c r="G646" s="458">
        <v>-33413.440000000002</v>
      </c>
      <c r="H646" s="458">
        <v>-21496.19</v>
      </c>
      <c r="I646" s="458">
        <v>-11917.25</v>
      </c>
      <c r="J646" s="456" t="s">
        <v>2507</v>
      </c>
      <c r="K646" s="456" t="s">
        <v>778</v>
      </c>
      <c r="L646" s="456" t="s">
        <v>164</v>
      </c>
    </row>
    <row r="647" spans="1:12" x14ac:dyDescent="0.2">
      <c r="A647" s="456" t="s">
        <v>778</v>
      </c>
      <c r="B647" s="456" t="s">
        <v>2491</v>
      </c>
      <c r="C647" s="456" t="s">
        <v>779</v>
      </c>
      <c r="D647" s="456" t="s">
        <v>780</v>
      </c>
      <c r="E647" s="456" t="s">
        <v>2508</v>
      </c>
      <c r="F647" s="457" t="s">
        <v>2509</v>
      </c>
      <c r="G647" s="458">
        <v>-47237839.079999998</v>
      </c>
      <c r="H647" s="458">
        <v>-11007606.68</v>
      </c>
      <c r="I647" s="458">
        <v>-36230232.399999999</v>
      </c>
      <c r="J647" s="456" t="s">
        <v>2510</v>
      </c>
      <c r="K647" s="456" t="s">
        <v>778</v>
      </c>
      <c r="L647" s="456" t="s">
        <v>164</v>
      </c>
    </row>
    <row r="648" spans="1:12" x14ac:dyDescent="0.2">
      <c r="A648" s="456" t="s">
        <v>778</v>
      </c>
      <c r="B648" s="456" t="s">
        <v>2491</v>
      </c>
      <c r="C648" s="456" t="s">
        <v>779</v>
      </c>
      <c r="D648" s="456" t="s">
        <v>780</v>
      </c>
      <c r="E648" s="456" t="s">
        <v>2511</v>
      </c>
      <c r="F648" s="457" t="s">
        <v>2512</v>
      </c>
      <c r="G648" s="458">
        <v>-5062.1000000000004</v>
      </c>
      <c r="H648" s="458">
        <v>-1309.42</v>
      </c>
      <c r="I648" s="458">
        <v>-3752.68</v>
      </c>
      <c r="J648" s="456" t="s">
        <v>2513</v>
      </c>
      <c r="K648" s="456" t="s">
        <v>778</v>
      </c>
      <c r="L648" s="456" t="s">
        <v>164</v>
      </c>
    </row>
    <row r="649" spans="1:12" x14ac:dyDescent="0.2">
      <c r="A649" s="456" t="s">
        <v>778</v>
      </c>
      <c r="B649" s="456" t="s">
        <v>2491</v>
      </c>
      <c r="C649" s="456" t="s">
        <v>779</v>
      </c>
      <c r="D649" s="456" t="s">
        <v>784</v>
      </c>
      <c r="E649" s="456" t="s">
        <v>2514</v>
      </c>
      <c r="F649" s="457" t="s">
        <v>2515</v>
      </c>
      <c r="G649" s="458">
        <v>-30110.95</v>
      </c>
      <c r="H649" s="458">
        <v>-40119.83</v>
      </c>
      <c r="I649" s="458">
        <v>10008.879999999999</v>
      </c>
      <c r="J649" s="456" t="s">
        <v>2516</v>
      </c>
      <c r="K649" s="456" t="s">
        <v>778</v>
      </c>
      <c r="L649" s="456" t="s">
        <v>164</v>
      </c>
    </row>
    <row r="650" spans="1:12" x14ac:dyDescent="0.2">
      <c r="A650" s="456" t="s">
        <v>778</v>
      </c>
      <c r="B650" s="456" t="s">
        <v>2491</v>
      </c>
      <c r="C650" s="456" t="s">
        <v>779</v>
      </c>
      <c r="D650" s="456" t="s">
        <v>784</v>
      </c>
      <c r="E650" s="456" t="s">
        <v>2517</v>
      </c>
      <c r="F650" s="457" t="s">
        <v>2518</v>
      </c>
      <c r="G650" s="458">
        <v>-56870.19</v>
      </c>
      <c r="H650" s="458">
        <v>-318679.63</v>
      </c>
      <c r="I650" s="458">
        <v>261809.44</v>
      </c>
      <c r="J650" s="456" t="s">
        <v>2519</v>
      </c>
      <c r="K650" s="456" t="s">
        <v>778</v>
      </c>
      <c r="L650" s="456" t="s">
        <v>164</v>
      </c>
    </row>
    <row r="651" spans="1:12" x14ac:dyDescent="0.2">
      <c r="A651" s="456" t="s">
        <v>778</v>
      </c>
      <c r="B651" s="456" t="s">
        <v>2491</v>
      </c>
      <c r="C651" s="456" t="s">
        <v>779</v>
      </c>
      <c r="D651" s="456" t="s">
        <v>784</v>
      </c>
      <c r="E651" s="456" t="s">
        <v>2520</v>
      </c>
      <c r="F651" s="457" t="s">
        <v>2521</v>
      </c>
      <c r="G651" s="458">
        <v>-258003.45</v>
      </c>
      <c r="H651" s="458">
        <v>-320031.84000000003</v>
      </c>
      <c r="I651" s="458">
        <v>62028.39</v>
      </c>
      <c r="J651" s="456" t="s">
        <v>2522</v>
      </c>
      <c r="K651" s="456" t="s">
        <v>778</v>
      </c>
      <c r="L651" s="456" t="s">
        <v>164</v>
      </c>
    </row>
    <row r="652" spans="1:12" x14ac:dyDescent="0.2">
      <c r="A652" s="456" t="s">
        <v>778</v>
      </c>
      <c r="B652" s="456" t="s">
        <v>2491</v>
      </c>
      <c r="C652" s="456" t="s">
        <v>779</v>
      </c>
      <c r="D652" s="456" t="s">
        <v>784</v>
      </c>
      <c r="E652" s="456" t="s">
        <v>2523</v>
      </c>
      <c r="F652" s="457" t="s">
        <v>2524</v>
      </c>
      <c r="G652" s="458">
        <v>-4956.03</v>
      </c>
      <c r="H652" s="458">
        <v>-5147.05</v>
      </c>
      <c r="I652" s="461">
        <v>191.02</v>
      </c>
      <c r="J652" s="456" t="s">
        <v>2525</v>
      </c>
      <c r="K652" s="456" t="s">
        <v>778</v>
      </c>
      <c r="L652" s="456" t="s">
        <v>164</v>
      </c>
    </row>
    <row r="653" spans="1:12" x14ac:dyDescent="0.2">
      <c r="A653" s="456" t="s">
        <v>778</v>
      </c>
      <c r="B653" s="456" t="s">
        <v>2491</v>
      </c>
      <c r="C653" s="456" t="s">
        <v>779</v>
      </c>
      <c r="D653" s="456" t="s">
        <v>780</v>
      </c>
      <c r="E653" s="456" t="s">
        <v>2526</v>
      </c>
      <c r="F653" s="457" t="s">
        <v>2527</v>
      </c>
      <c r="G653" s="458">
        <v>-1062605.73</v>
      </c>
      <c r="H653" s="458">
        <v>-329498.19</v>
      </c>
      <c r="I653" s="458">
        <v>-733107.54</v>
      </c>
      <c r="J653" s="456" t="s">
        <v>2528</v>
      </c>
      <c r="K653" s="456" t="s">
        <v>778</v>
      </c>
      <c r="L653" s="456" t="s">
        <v>164</v>
      </c>
    </row>
    <row r="654" spans="1:12" x14ac:dyDescent="0.2">
      <c r="A654" s="456" t="s">
        <v>778</v>
      </c>
      <c r="B654" s="456" t="s">
        <v>2491</v>
      </c>
      <c r="C654" s="456" t="s">
        <v>779</v>
      </c>
      <c r="D654" s="456" t="s">
        <v>780</v>
      </c>
      <c r="E654" s="456" t="s">
        <v>2529</v>
      </c>
      <c r="F654" s="457" t="s">
        <v>2530</v>
      </c>
      <c r="G654" s="461">
        <v>0</v>
      </c>
      <c r="H654" s="461">
        <v>230.4</v>
      </c>
      <c r="I654" s="461">
        <v>-230.4</v>
      </c>
      <c r="J654" s="456" t="s">
        <v>826</v>
      </c>
      <c r="K654" s="456" t="s">
        <v>778</v>
      </c>
      <c r="L654" s="456" t="s">
        <v>164</v>
      </c>
    </row>
    <row r="655" spans="1:12" x14ac:dyDescent="0.2">
      <c r="A655" s="456" t="s">
        <v>778</v>
      </c>
      <c r="B655" s="456" t="s">
        <v>2491</v>
      </c>
      <c r="C655" s="456" t="s">
        <v>779</v>
      </c>
      <c r="D655" s="456" t="s">
        <v>784</v>
      </c>
      <c r="E655" s="456" t="s">
        <v>2531</v>
      </c>
      <c r="F655" s="457" t="s">
        <v>2532</v>
      </c>
      <c r="G655" s="458">
        <v>-503247</v>
      </c>
      <c r="H655" s="458">
        <v>1401.19</v>
      </c>
      <c r="I655" s="458">
        <v>-504648.19</v>
      </c>
      <c r="J655" s="456" t="s">
        <v>2533</v>
      </c>
      <c r="K655" s="456" t="s">
        <v>778</v>
      </c>
      <c r="L655" s="456" t="s">
        <v>164</v>
      </c>
    </row>
    <row r="656" spans="1:12" x14ac:dyDescent="0.2">
      <c r="A656" s="456" t="s">
        <v>778</v>
      </c>
      <c r="B656" s="456" t="s">
        <v>2491</v>
      </c>
      <c r="C656" s="456" t="s">
        <v>779</v>
      </c>
      <c r="D656" s="456" t="s">
        <v>784</v>
      </c>
      <c r="E656" s="456" t="s">
        <v>2534</v>
      </c>
      <c r="F656" s="457" t="s">
        <v>2535</v>
      </c>
      <c r="G656" s="458">
        <v>-390034.96</v>
      </c>
      <c r="H656" s="461">
        <v>0</v>
      </c>
      <c r="I656" s="458">
        <v>-390034.96</v>
      </c>
      <c r="J656" s="456" t="s">
        <v>299</v>
      </c>
      <c r="K656" s="456" t="s">
        <v>778</v>
      </c>
      <c r="L656" s="456" t="s">
        <v>164</v>
      </c>
    </row>
    <row r="657" spans="1:12" x14ac:dyDescent="0.2">
      <c r="A657" s="456" t="s">
        <v>778</v>
      </c>
      <c r="B657" s="456" t="s">
        <v>2491</v>
      </c>
      <c r="C657" s="456" t="s">
        <v>2536</v>
      </c>
      <c r="D657" s="456" t="s">
        <v>784</v>
      </c>
      <c r="E657" s="456" t="s">
        <v>2537</v>
      </c>
      <c r="F657" s="457" t="s">
        <v>2538</v>
      </c>
      <c r="G657" s="461">
        <v>0</v>
      </c>
      <c r="H657" s="458">
        <v>112592.21</v>
      </c>
      <c r="I657" s="458">
        <v>-112592.21</v>
      </c>
      <c r="J657" s="456" t="s">
        <v>826</v>
      </c>
      <c r="K657" s="456" t="s">
        <v>778</v>
      </c>
      <c r="L657" s="456" t="s">
        <v>164</v>
      </c>
    </row>
    <row r="658" spans="1:12" x14ac:dyDescent="0.2">
      <c r="A658" s="459" t="s">
        <v>794</v>
      </c>
      <c r="B658" s="459" t="s">
        <v>2491</v>
      </c>
      <c r="C658" s="459" t="s">
        <v>299</v>
      </c>
      <c r="D658" s="459" t="s">
        <v>299</v>
      </c>
      <c r="E658" s="459" t="s">
        <v>299</v>
      </c>
      <c r="F658" s="457" t="s">
        <v>2539</v>
      </c>
      <c r="G658" s="460">
        <v>-259081874.12</v>
      </c>
      <c r="H658" s="460">
        <v>-405647264.39999998</v>
      </c>
      <c r="I658" s="460">
        <v>146565390.28</v>
      </c>
      <c r="J658" s="459" t="s">
        <v>2540</v>
      </c>
      <c r="K658" s="459" t="s">
        <v>778</v>
      </c>
      <c r="L658" s="459" t="s">
        <v>164</v>
      </c>
    </row>
    <row r="659" spans="1:12" x14ac:dyDescent="0.2">
      <c r="A659" s="456" t="s">
        <v>778</v>
      </c>
      <c r="B659" s="456" t="s">
        <v>2541</v>
      </c>
      <c r="C659" s="456" t="s">
        <v>779</v>
      </c>
      <c r="D659" s="456" t="s">
        <v>780</v>
      </c>
      <c r="E659" s="456" t="s">
        <v>2542</v>
      </c>
      <c r="F659" s="457" t="s">
        <v>2543</v>
      </c>
      <c r="G659" s="458">
        <v>-178186.03</v>
      </c>
      <c r="H659" s="458">
        <v>15238.34</v>
      </c>
      <c r="I659" s="458">
        <v>-193424.37</v>
      </c>
      <c r="J659" s="456" t="s">
        <v>2544</v>
      </c>
      <c r="K659" s="456" t="s">
        <v>778</v>
      </c>
      <c r="L659" s="456" t="s">
        <v>164</v>
      </c>
    </row>
    <row r="660" spans="1:12" x14ac:dyDescent="0.2">
      <c r="A660" s="456" t="s">
        <v>778</v>
      </c>
      <c r="B660" s="456" t="s">
        <v>2541</v>
      </c>
      <c r="C660" s="456" t="s">
        <v>779</v>
      </c>
      <c r="D660" s="456" t="s">
        <v>780</v>
      </c>
      <c r="E660" s="456" t="s">
        <v>2545</v>
      </c>
      <c r="F660" s="457" t="s">
        <v>2546</v>
      </c>
      <c r="G660" s="458">
        <v>-91625.94</v>
      </c>
      <c r="H660" s="458">
        <v>-222751.91</v>
      </c>
      <c r="I660" s="458">
        <v>131125.97</v>
      </c>
      <c r="J660" s="456" t="s">
        <v>1773</v>
      </c>
      <c r="K660" s="456" t="s">
        <v>778</v>
      </c>
      <c r="L660" s="456" t="s">
        <v>164</v>
      </c>
    </row>
    <row r="661" spans="1:12" x14ac:dyDescent="0.2">
      <c r="A661" s="456" t="s">
        <v>778</v>
      </c>
      <c r="B661" s="456" t="s">
        <v>2541</v>
      </c>
      <c r="C661" s="456" t="s">
        <v>779</v>
      </c>
      <c r="D661" s="456" t="s">
        <v>780</v>
      </c>
      <c r="E661" s="456" t="s">
        <v>2547</v>
      </c>
      <c r="F661" s="457" t="s">
        <v>2548</v>
      </c>
      <c r="G661" s="458">
        <v>-7203610.9400000004</v>
      </c>
      <c r="H661" s="458">
        <v>-29001211.219999999</v>
      </c>
      <c r="I661" s="458">
        <v>21797600.280000001</v>
      </c>
      <c r="J661" s="456" t="s">
        <v>2549</v>
      </c>
      <c r="K661" s="456" t="s">
        <v>778</v>
      </c>
      <c r="L661" s="456" t="s">
        <v>164</v>
      </c>
    </row>
    <row r="662" spans="1:12" x14ac:dyDescent="0.2">
      <c r="A662" s="456" t="s">
        <v>778</v>
      </c>
      <c r="B662" s="456" t="s">
        <v>2541</v>
      </c>
      <c r="C662" s="456" t="s">
        <v>779</v>
      </c>
      <c r="D662" s="456" t="s">
        <v>843</v>
      </c>
      <c r="E662" s="456" t="s">
        <v>2550</v>
      </c>
      <c r="F662" s="457" t="s">
        <v>2551</v>
      </c>
      <c r="G662" s="461">
        <v>0</v>
      </c>
      <c r="H662" s="458">
        <v>-381182.26</v>
      </c>
      <c r="I662" s="458">
        <v>381182.26</v>
      </c>
      <c r="J662" s="456" t="s">
        <v>810</v>
      </c>
      <c r="K662" s="456" t="s">
        <v>778</v>
      </c>
      <c r="L662" s="456" t="s">
        <v>164</v>
      </c>
    </row>
    <row r="663" spans="1:12" x14ac:dyDescent="0.2">
      <c r="A663" s="456" t="s">
        <v>778</v>
      </c>
      <c r="B663" s="456" t="s">
        <v>2541</v>
      </c>
      <c r="C663" s="456" t="s">
        <v>779</v>
      </c>
      <c r="D663" s="456" t="s">
        <v>843</v>
      </c>
      <c r="E663" s="456" t="s">
        <v>2552</v>
      </c>
      <c r="F663" s="457" t="s">
        <v>2553</v>
      </c>
      <c r="G663" s="458">
        <v>-674099.37</v>
      </c>
      <c r="H663" s="458">
        <v>-1933915.98</v>
      </c>
      <c r="I663" s="458">
        <v>1259816.6100000001</v>
      </c>
      <c r="J663" s="456" t="s">
        <v>2554</v>
      </c>
      <c r="K663" s="456" t="s">
        <v>778</v>
      </c>
      <c r="L663" s="456" t="s">
        <v>164</v>
      </c>
    </row>
    <row r="664" spans="1:12" x14ac:dyDescent="0.2">
      <c r="A664" s="456" t="s">
        <v>778</v>
      </c>
      <c r="B664" s="456" t="s">
        <v>2541</v>
      </c>
      <c r="C664" s="456" t="s">
        <v>779</v>
      </c>
      <c r="D664" s="456" t="s">
        <v>784</v>
      </c>
      <c r="E664" s="456" t="s">
        <v>2555</v>
      </c>
      <c r="F664" s="457" t="s">
        <v>2556</v>
      </c>
      <c r="G664" s="458">
        <v>-17564127.300000001</v>
      </c>
      <c r="H664" s="458">
        <v>-31134034.66</v>
      </c>
      <c r="I664" s="458">
        <v>13569907.359999999</v>
      </c>
      <c r="J664" s="456" t="s">
        <v>2557</v>
      </c>
      <c r="K664" s="456" t="s">
        <v>778</v>
      </c>
      <c r="L664" s="456" t="s">
        <v>164</v>
      </c>
    </row>
    <row r="665" spans="1:12" x14ac:dyDescent="0.2">
      <c r="A665" s="456" t="s">
        <v>778</v>
      </c>
      <c r="B665" s="456" t="s">
        <v>2541</v>
      </c>
      <c r="C665" s="456" t="s">
        <v>779</v>
      </c>
      <c r="D665" s="456" t="s">
        <v>780</v>
      </c>
      <c r="E665" s="456" t="s">
        <v>2558</v>
      </c>
      <c r="F665" s="457" t="s">
        <v>2559</v>
      </c>
      <c r="G665" s="458">
        <v>-1085612.5</v>
      </c>
      <c r="H665" s="458">
        <v>-5087739.4800000004</v>
      </c>
      <c r="I665" s="458">
        <v>4002126.98</v>
      </c>
      <c r="J665" s="456" t="s">
        <v>2560</v>
      </c>
      <c r="K665" s="456" t="s">
        <v>778</v>
      </c>
      <c r="L665" s="456" t="s">
        <v>164</v>
      </c>
    </row>
    <row r="666" spans="1:12" x14ac:dyDescent="0.2">
      <c r="A666" s="456" t="s">
        <v>778</v>
      </c>
      <c r="B666" s="456" t="s">
        <v>2541</v>
      </c>
      <c r="C666" s="456" t="s">
        <v>779</v>
      </c>
      <c r="D666" s="456" t="s">
        <v>784</v>
      </c>
      <c r="E666" s="456" t="s">
        <v>2561</v>
      </c>
      <c r="F666" s="457" t="s">
        <v>2562</v>
      </c>
      <c r="G666" s="458">
        <v>-6280.93</v>
      </c>
      <c r="H666" s="458">
        <v>-14844.33</v>
      </c>
      <c r="I666" s="458">
        <v>8563.4</v>
      </c>
      <c r="J666" s="456" t="s">
        <v>2563</v>
      </c>
      <c r="K666" s="456" t="s">
        <v>778</v>
      </c>
      <c r="L666" s="456" t="s">
        <v>164</v>
      </c>
    </row>
    <row r="667" spans="1:12" x14ac:dyDescent="0.2">
      <c r="A667" s="456" t="s">
        <v>778</v>
      </c>
      <c r="B667" s="456" t="s">
        <v>2541</v>
      </c>
      <c r="C667" s="456" t="s">
        <v>779</v>
      </c>
      <c r="D667" s="456" t="s">
        <v>780</v>
      </c>
      <c r="E667" s="456" t="s">
        <v>2564</v>
      </c>
      <c r="F667" s="457" t="s">
        <v>2565</v>
      </c>
      <c r="G667" s="458">
        <v>-222867.84</v>
      </c>
      <c r="H667" s="458">
        <v>-254327.17</v>
      </c>
      <c r="I667" s="458">
        <v>31459.33</v>
      </c>
      <c r="J667" s="456" t="s">
        <v>2566</v>
      </c>
      <c r="K667" s="456" t="s">
        <v>778</v>
      </c>
      <c r="L667" s="456" t="s">
        <v>164</v>
      </c>
    </row>
    <row r="668" spans="1:12" x14ac:dyDescent="0.2">
      <c r="A668" s="456" t="s">
        <v>778</v>
      </c>
      <c r="B668" s="456" t="s">
        <v>2541</v>
      </c>
      <c r="C668" s="456" t="s">
        <v>779</v>
      </c>
      <c r="D668" s="456" t="s">
        <v>784</v>
      </c>
      <c r="E668" s="456" t="s">
        <v>2567</v>
      </c>
      <c r="F668" s="457" t="s">
        <v>2568</v>
      </c>
      <c r="G668" s="458">
        <v>-87210.86</v>
      </c>
      <c r="H668" s="458">
        <v>-154380.21</v>
      </c>
      <c r="I668" s="458">
        <v>67169.350000000006</v>
      </c>
      <c r="J668" s="456" t="s">
        <v>2569</v>
      </c>
      <c r="K668" s="456" t="s">
        <v>778</v>
      </c>
      <c r="L668" s="456" t="s">
        <v>164</v>
      </c>
    </row>
    <row r="669" spans="1:12" x14ac:dyDescent="0.2">
      <c r="A669" s="456" t="s">
        <v>778</v>
      </c>
      <c r="B669" s="456" t="s">
        <v>2541</v>
      </c>
      <c r="C669" s="456" t="s">
        <v>779</v>
      </c>
      <c r="D669" s="456" t="s">
        <v>784</v>
      </c>
      <c r="E669" s="456" t="s">
        <v>2570</v>
      </c>
      <c r="F669" s="457" t="s">
        <v>2571</v>
      </c>
      <c r="G669" s="461">
        <v>0</v>
      </c>
      <c r="H669" s="458">
        <v>-96966.84</v>
      </c>
      <c r="I669" s="458">
        <v>96966.84</v>
      </c>
      <c r="J669" s="456" t="s">
        <v>810</v>
      </c>
      <c r="K669" s="456" t="s">
        <v>778</v>
      </c>
      <c r="L669" s="456" t="s">
        <v>164</v>
      </c>
    </row>
    <row r="670" spans="1:12" x14ac:dyDescent="0.2">
      <c r="A670" s="456" t="s">
        <v>778</v>
      </c>
      <c r="B670" s="456" t="s">
        <v>2541</v>
      </c>
      <c r="C670" s="456" t="s">
        <v>779</v>
      </c>
      <c r="D670" s="456" t="s">
        <v>780</v>
      </c>
      <c r="E670" s="456" t="s">
        <v>2572</v>
      </c>
      <c r="F670" s="457" t="s">
        <v>2573</v>
      </c>
      <c r="G670" s="458">
        <v>-2339774.21</v>
      </c>
      <c r="H670" s="458">
        <v>-3761590.6</v>
      </c>
      <c r="I670" s="458">
        <v>1421816.39</v>
      </c>
      <c r="J670" s="456" t="s">
        <v>2574</v>
      </c>
      <c r="K670" s="456" t="s">
        <v>778</v>
      </c>
      <c r="L670" s="456" t="s">
        <v>164</v>
      </c>
    </row>
    <row r="671" spans="1:12" x14ac:dyDescent="0.2">
      <c r="A671" s="459" t="s">
        <v>794</v>
      </c>
      <c r="B671" s="459" t="s">
        <v>2541</v>
      </c>
      <c r="C671" s="459" t="s">
        <v>299</v>
      </c>
      <c r="D671" s="459" t="s">
        <v>299</v>
      </c>
      <c r="E671" s="459" t="s">
        <v>299</v>
      </c>
      <c r="F671" s="457" t="s">
        <v>2575</v>
      </c>
      <c r="G671" s="460">
        <v>-29453395.920000002</v>
      </c>
      <c r="H671" s="460">
        <v>-72027706.319999993</v>
      </c>
      <c r="I671" s="460">
        <v>42574310.399999999</v>
      </c>
      <c r="J671" s="459" t="s">
        <v>2576</v>
      </c>
      <c r="K671" s="459" t="s">
        <v>778</v>
      </c>
      <c r="L671" s="459" t="s">
        <v>164</v>
      </c>
    </row>
    <row r="672" spans="1:12" x14ac:dyDescent="0.2">
      <c r="A672" s="456" t="s">
        <v>778</v>
      </c>
      <c r="B672" s="456" t="s">
        <v>2577</v>
      </c>
      <c r="C672" s="456" t="s">
        <v>779</v>
      </c>
      <c r="D672" s="456" t="s">
        <v>784</v>
      </c>
      <c r="E672" s="456" t="s">
        <v>2578</v>
      </c>
      <c r="F672" s="457" t="s">
        <v>2579</v>
      </c>
      <c r="G672" s="458">
        <v>-9851.44</v>
      </c>
      <c r="H672" s="458">
        <v>-158933.69</v>
      </c>
      <c r="I672" s="458">
        <v>149082.25</v>
      </c>
      <c r="J672" s="456" t="s">
        <v>2580</v>
      </c>
      <c r="K672" s="456" t="s">
        <v>778</v>
      </c>
      <c r="L672" s="456" t="s">
        <v>164</v>
      </c>
    </row>
    <row r="673" spans="1:12" x14ac:dyDescent="0.2">
      <c r="A673" s="456" t="s">
        <v>778</v>
      </c>
      <c r="B673" s="456" t="s">
        <v>2577</v>
      </c>
      <c r="C673" s="456" t="s">
        <v>779</v>
      </c>
      <c r="D673" s="456" t="s">
        <v>784</v>
      </c>
      <c r="E673" s="456" t="s">
        <v>2581</v>
      </c>
      <c r="F673" s="457" t="s">
        <v>2582</v>
      </c>
      <c r="G673" s="458">
        <v>-57070.41</v>
      </c>
      <c r="H673" s="458">
        <v>-118405.86</v>
      </c>
      <c r="I673" s="458">
        <v>61335.45</v>
      </c>
      <c r="J673" s="456" t="s">
        <v>2583</v>
      </c>
      <c r="K673" s="456" t="s">
        <v>778</v>
      </c>
      <c r="L673" s="456" t="s">
        <v>164</v>
      </c>
    </row>
    <row r="674" spans="1:12" x14ac:dyDescent="0.2">
      <c r="A674" s="456" t="s">
        <v>778</v>
      </c>
      <c r="B674" s="456" t="s">
        <v>2577</v>
      </c>
      <c r="C674" s="456" t="s">
        <v>779</v>
      </c>
      <c r="D674" s="456" t="s">
        <v>784</v>
      </c>
      <c r="E674" s="456" t="s">
        <v>2584</v>
      </c>
      <c r="F674" s="457" t="s">
        <v>2585</v>
      </c>
      <c r="G674" s="458">
        <v>-63204.34</v>
      </c>
      <c r="H674" s="458">
        <v>17894.07</v>
      </c>
      <c r="I674" s="458">
        <v>-81098.41</v>
      </c>
      <c r="J674" s="456" t="s">
        <v>2586</v>
      </c>
      <c r="K674" s="456" t="s">
        <v>778</v>
      </c>
      <c r="L674" s="456" t="s">
        <v>164</v>
      </c>
    </row>
    <row r="675" spans="1:12" x14ac:dyDescent="0.2">
      <c r="A675" s="456" t="s">
        <v>778</v>
      </c>
      <c r="B675" s="456" t="s">
        <v>2577</v>
      </c>
      <c r="C675" s="456" t="s">
        <v>779</v>
      </c>
      <c r="D675" s="456" t="s">
        <v>784</v>
      </c>
      <c r="E675" s="456" t="s">
        <v>2587</v>
      </c>
      <c r="F675" s="457" t="s">
        <v>2588</v>
      </c>
      <c r="G675" s="458">
        <v>-3030010.88</v>
      </c>
      <c r="H675" s="458">
        <v>-2980415.29</v>
      </c>
      <c r="I675" s="458">
        <v>-49595.59</v>
      </c>
      <c r="J675" s="456" t="s">
        <v>2589</v>
      </c>
      <c r="K675" s="456" t="s">
        <v>778</v>
      </c>
      <c r="L675" s="456" t="s">
        <v>164</v>
      </c>
    </row>
    <row r="676" spans="1:12" x14ac:dyDescent="0.2">
      <c r="A676" s="456" t="s">
        <v>778</v>
      </c>
      <c r="B676" s="456" t="s">
        <v>2577</v>
      </c>
      <c r="C676" s="456" t="s">
        <v>779</v>
      </c>
      <c r="D676" s="456" t="s">
        <v>784</v>
      </c>
      <c r="E676" s="456" t="s">
        <v>2590</v>
      </c>
      <c r="F676" s="457" t="s">
        <v>2591</v>
      </c>
      <c r="G676" s="458">
        <v>-45556.2</v>
      </c>
      <c r="H676" s="458">
        <v>-124985.7</v>
      </c>
      <c r="I676" s="458">
        <v>79429.5</v>
      </c>
      <c r="J676" s="456" t="s">
        <v>2592</v>
      </c>
      <c r="K676" s="456" t="s">
        <v>778</v>
      </c>
      <c r="L676" s="456" t="s">
        <v>164</v>
      </c>
    </row>
    <row r="677" spans="1:12" x14ac:dyDescent="0.2">
      <c r="A677" s="456" t="s">
        <v>778</v>
      </c>
      <c r="B677" s="456" t="s">
        <v>2577</v>
      </c>
      <c r="C677" s="456" t="s">
        <v>779</v>
      </c>
      <c r="D677" s="456" t="s">
        <v>784</v>
      </c>
      <c r="E677" s="456" t="s">
        <v>2593</v>
      </c>
      <c r="F677" s="457" t="s">
        <v>2594</v>
      </c>
      <c r="G677" s="461">
        <v>-857.31</v>
      </c>
      <c r="H677" s="458">
        <v>-3268.44</v>
      </c>
      <c r="I677" s="458">
        <v>2411.13</v>
      </c>
      <c r="J677" s="456" t="s">
        <v>2595</v>
      </c>
      <c r="K677" s="456" t="s">
        <v>778</v>
      </c>
      <c r="L677" s="456" t="s">
        <v>164</v>
      </c>
    </row>
    <row r="678" spans="1:12" x14ac:dyDescent="0.2">
      <c r="A678" s="456" t="s">
        <v>778</v>
      </c>
      <c r="B678" s="456" t="s">
        <v>2577</v>
      </c>
      <c r="C678" s="456" t="s">
        <v>779</v>
      </c>
      <c r="D678" s="456" t="s">
        <v>784</v>
      </c>
      <c r="E678" s="456" t="s">
        <v>2596</v>
      </c>
      <c r="F678" s="457" t="s">
        <v>2597</v>
      </c>
      <c r="G678" s="458">
        <v>73556.63</v>
      </c>
      <c r="H678" s="458">
        <v>78873.42</v>
      </c>
      <c r="I678" s="458">
        <v>-5316.79</v>
      </c>
      <c r="J678" s="456" t="s">
        <v>2598</v>
      </c>
      <c r="K678" s="456" t="s">
        <v>778</v>
      </c>
      <c r="L678" s="456" t="s">
        <v>164</v>
      </c>
    </row>
    <row r="679" spans="1:12" x14ac:dyDescent="0.2">
      <c r="A679" s="456" t="s">
        <v>778</v>
      </c>
      <c r="B679" s="456" t="s">
        <v>2577</v>
      </c>
      <c r="C679" s="456" t="s">
        <v>779</v>
      </c>
      <c r="D679" s="456" t="s">
        <v>784</v>
      </c>
      <c r="E679" s="456" t="s">
        <v>2599</v>
      </c>
      <c r="F679" s="457" t="s">
        <v>2600</v>
      </c>
      <c r="G679" s="458">
        <v>-21938.01</v>
      </c>
      <c r="H679" s="458">
        <v>-6705.17</v>
      </c>
      <c r="I679" s="458">
        <v>-15232.84</v>
      </c>
      <c r="J679" s="456" t="s">
        <v>2601</v>
      </c>
      <c r="K679" s="456" t="s">
        <v>778</v>
      </c>
      <c r="L679" s="456" t="s">
        <v>164</v>
      </c>
    </row>
    <row r="680" spans="1:12" x14ac:dyDescent="0.2">
      <c r="A680" s="456" t="s">
        <v>778</v>
      </c>
      <c r="B680" s="456" t="s">
        <v>2577</v>
      </c>
      <c r="C680" s="456" t="s">
        <v>779</v>
      </c>
      <c r="D680" s="456" t="s">
        <v>784</v>
      </c>
      <c r="E680" s="456" t="s">
        <v>2602</v>
      </c>
      <c r="F680" s="457" t="s">
        <v>2603</v>
      </c>
      <c r="G680" s="458">
        <v>-26818.880000000001</v>
      </c>
      <c r="H680" s="458">
        <v>-36589.440000000002</v>
      </c>
      <c r="I680" s="458">
        <v>9770.56</v>
      </c>
      <c r="J680" s="456" t="s">
        <v>2604</v>
      </c>
      <c r="K680" s="456" t="s">
        <v>778</v>
      </c>
      <c r="L680" s="456" t="s">
        <v>164</v>
      </c>
    </row>
    <row r="681" spans="1:12" x14ac:dyDescent="0.2">
      <c r="A681" s="456" t="s">
        <v>778</v>
      </c>
      <c r="B681" s="456" t="s">
        <v>2577</v>
      </c>
      <c r="C681" s="456" t="s">
        <v>779</v>
      </c>
      <c r="D681" s="456" t="s">
        <v>784</v>
      </c>
      <c r="E681" s="456" t="s">
        <v>2605</v>
      </c>
      <c r="F681" s="457" t="s">
        <v>2606</v>
      </c>
      <c r="G681" s="458">
        <v>-77425.789999999994</v>
      </c>
      <c r="H681" s="458">
        <v>-38444.17</v>
      </c>
      <c r="I681" s="458">
        <v>-38981.620000000003</v>
      </c>
      <c r="J681" s="456" t="s">
        <v>2607</v>
      </c>
      <c r="K681" s="456" t="s">
        <v>778</v>
      </c>
      <c r="L681" s="456" t="s">
        <v>164</v>
      </c>
    </row>
    <row r="682" spans="1:12" x14ac:dyDescent="0.2">
      <c r="A682" s="456" t="s">
        <v>778</v>
      </c>
      <c r="B682" s="456" t="s">
        <v>2577</v>
      </c>
      <c r="C682" s="456" t="s">
        <v>779</v>
      </c>
      <c r="D682" s="456" t="s">
        <v>843</v>
      </c>
      <c r="E682" s="456" t="s">
        <v>2608</v>
      </c>
      <c r="F682" s="457" t="s">
        <v>2609</v>
      </c>
      <c r="G682" s="458">
        <v>-800372.5</v>
      </c>
      <c r="H682" s="458">
        <v>-855145</v>
      </c>
      <c r="I682" s="458">
        <v>54772.5</v>
      </c>
      <c r="J682" s="456" t="s">
        <v>2610</v>
      </c>
      <c r="K682" s="456" t="s">
        <v>778</v>
      </c>
      <c r="L682" s="456" t="s">
        <v>164</v>
      </c>
    </row>
    <row r="683" spans="1:12" x14ac:dyDescent="0.2">
      <c r="A683" s="456" t="s">
        <v>778</v>
      </c>
      <c r="B683" s="456" t="s">
        <v>2577</v>
      </c>
      <c r="C683" s="456" t="s">
        <v>779</v>
      </c>
      <c r="D683" s="456" t="s">
        <v>784</v>
      </c>
      <c r="E683" s="456" t="s">
        <v>2611</v>
      </c>
      <c r="F683" s="457" t="s">
        <v>2612</v>
      </c>
      <c r="G683" s="458">
        <v>-24303.279999999999</v>
      </c>
      <c r="H683" s="458">
        <v>-107820.47</v>
      </c>
      <c r="I683" s="458">
        <v>83517.19</v>
      </c>
      <c r="J683" s="456" t="s">
        <v>2613</v>
      </c>
      <c r="K683" s="456" t="s">
        <v>778</v>
      </c>
      <c r="L683" s="456" t="s">
        <v>164</v>
      </c>
    </row>
    <row r="684" spans="1:12" x14ac:dyDescent="0.2">
      <c r="A684" s="456" t="s">
        <v>778</v>
      </c>
      <c r="B684" s="456" t="s">
        <v>2577</v>
      </c>
      <c r="C684" s="456" t="s">
        <v>779</v>
      </c>
      <c r="D684" s="456" t="s">
        <v>784</v>
      </c>
      <c r="E684" s="456" t="s">
        <v>2614</v>
      </c>
      <c r="F684" s="457" t="s">
        <v>2615</v>
      </c>
      <c r="G684" s="458">
        <v>-1804342.17</v>
      </c>
      <c r="H684" s="458">
        <v>-1088271.92</v>
      </c>
      <c r="I684" s="458">
        <v>-716070.25</v>
      </c>
      <c r="J684" s="456" t="s">
        <v>1552</v>
      </c>
      <c r="K684" s="456" t="s">
        <v>778</v>
      </c>
      <c r="L684" s="456" t="s">
        <v>164</v>
      </c>
    </row>
    <row r="685" spans="1:12" x14ac:dyDescent="0.2">
      <c r="A685" s="456" t="s">
        <v>778</v>
      </c>
      <c r="B685" s="456" t="s">
        <v>2577</v>
      </c>
      <c r="C685" s="456" t="s">
        <v>779</v>
      </c>
      <c r="D685" s="456" t="s">
        <v>784</v>
      </c>
      <c r="E685" s="456" t="s">
        <v>2616</v>
      </c>
      <c r="F685" s="457" t="s">
        <v>2617</v>
      </c>
      <c r="G685" s="458">
        <v>-2058397.23</v>
      </c>
      <c r="H685" s="458">
        <v>-3466518.2</v>
      </c>
      <c r="I685" s="458">
        <v>1408120.97</v>
      </c>
      <c r="J685" s="456" t="s">
        <v>2618</v>
      </c>
      <c r="K685" s="456" t="s">
        <v>778</v>
      </c>
      <c r="L685" s="456" t="s">
        <v>164</v>
      </c>
    </row>
    <row r="686" spans="1:12" x14ac:dyDescent="0.2">
      <c r="A686" s="456" t="s">
        <v>778</v>
      </c>
      <c r="B686" s="456" t="s">
        <v>2577</v>
      </c>
      <c r="C686" s="456" t="s">
        <v>779</v>
      </c>
      <c r="D686" s="456" t="s">
        <v>784</v>
      </c>
      <c r="E686" s="456" t="s">
        <v>2619</v>
      </c>
      <c r="F686" s="457" t="s">
        <v>2620</v>
      </c>
      <c r="G686" s="458">
        <v>-406250.12</v>
      </c>
      <c r="H686" s="458">
        <v>-626842.03</v>
      </c>
      <c r="I686" s="458">
        <v>220591.91</v>
      </c>
      <c r="J686" s="456" t="s">
        <v>2621</v>
      </c>
      <c r="K686" s="456" t="s">
        <v>778</v>
      </c>
      <c r="L686" s="456" t="s">
        <v>164</v>
      </c>
    </row>
    <row r="687" spans="1:12" x14ac:dyDescent="0.2">
      <c r="A687" s="456" t="s">
        <v>778</v>
      </c>
      <c r="B687" s="456" t="s">
        <v>2577</v>
      </c>
      <c r="C687" s="456" t="s">
        <v>779</v>
      </c>
      <c r="D687" s="456" t="s">
        <v>780</v>
      </c>
      <c r="E687" s="456" t="s">
        <v>2622</v>
      </c>
      <c r="F687" s="457" t="s">
        <v>2623</v>
      </c>
      <c r="G687" s="458">
        <v>-66867752.049999997</v>
      </c>
      <c r="H687" s="458">
        <v>-64621400.960000001</v>
      </c>
      <c r="I687" s="458">
        <v>-2246351.09</v>
      </c>
      <c r="J687" s="456" t="s">
        <v>2419</v>
      </c>
      <c r="K687" s="456" t="s">
        <v>778</v>
      </c>
      <c r="L687" s="456" t="s">
        <v>164</v>
      </c>
    </row>
    <row r="688" spans="1:12" x14ac:dyDescent="0.2">
      <c r="A688" s="456" t="s">
        <v>778</v>
      </c>
      <c r="B688" s="456" t="s">
        <v>2577</v>
      </c>
      <c r="C688" s="456" t="s">
        <v>779</v>
      </c>
      <c r="D688" s="456" t="s">
        <v>780</v>
      </c>
      <c r="E688" s="456" t="s">
        <v>2624</v>
      </c>
      <c r="F688" s="457" t="s">
        <v>2625</v>
      </c>
      <c r="G688" s="458">
        <v>-1514581.81</v>
      </c>
      <c r="H688" s="458">
        <v>-1297485.22</v>
      </c>
      <c r="I688" s="458">
        <v>-217096.59</v>
      </c>
      <c r="J688" s="456" t="s">
        <v>2626</v>
      </c>
      <c r="K688" s="456" t="s">
        <v>778</v>
      </c>
      <c r="L688" s="456" t="s">
        <v>164</v>
      </c>
    </row>
    <row r="689" spans="1:12" x14ac:dyDescent="0.2">
      <c r="A689" s="456" t="s">
        <v>778</v>
      </c>
      <c r="B689" s="456" t="s">
        <v>2577</v>
      </c>
      <c r="C689" s="456" t="s">
        <v>779</v>
      </c>
      <c r="D689" s="456" t="s">
        <v>780</v>
      </c>
      <c r="E689" s="456" t="s">
        <v>2627</v>
      </c>
      <c r="F689" s="457" t="s">
        <v>2628</v>
      </c>
      <c r="G689" s="458">
        <v>-599251.34</v>
      </c>
      <c r="H689" s="458">
        <v>-735867.24</v>
      </c>
      <c r="I689" s="458">
        <v>136615.9</v>
      </c>
      <c r="J689" s="456" t="s">
        <v>2629</v>
      </c>
      <c r="K689" s="456" t="s">
        <v>778</v>
      </c>
      <c r="L689" s="456" t="s">
        <v>164</v>
      </c>
    </row>
    <row r="690" spans="1:12" x14ac:dyDescent="0.2">
      <c r="A690" s="456" t="s">
        <v>778</v>
      </c>
      <c r="B690" s="456" t="s">
        <v>2577</v>
      </c>
      <c r="C690" s="456" t="s">
        <v>779</v>
      </c>
      <c r="D690" s="456" t="s">
        <v>780</v>
      </c>
      <c r="E690" s="456" t="s">
        <v>2630</v>
      </c>
      <c r="F690" s="457" t="s">
        <v>2631</v>
      </c>
      <c r="G690" s="458">
        <v>-7489053.0800000001</v>
      </c>
      <c r="H690" s="458">
        <v>-7675051.7800000003</v>
      </c>
      <c r="I690" s="458">
        <v>185998.7</v>
      </c>
      <c r="J690" s="456" t="s">
        <v>2369</v>
      </c>
      <c r="K690" s="456" t="s">
        <v>778</v>
      </c>
      <c r="L690" s="456" t="s">
        <v>164</v>
      </c>
    </row>
    <row r="691" spans="1:12" x14ac:dyDescent="0.2">
      <c r="A691" s="456" t="s">
        <v>778</v>
      </c>
      <c r="B691" s="456" t="s">
        <v>2577</v>
      </c>
      <c r="C691" s="456" t="s">
        <v>779</v>
      </c>
      <c r="D691" s="456" t="s">
        <v>1021</v>
      </c>
      <c r="E691" s="456" t="s">
        <v>2632</v>
      </c>
      <c r="F691" s="457" t="s">
        <v>2633</v>
      </c>
      <c r="G691" s="458">
        <v>-878473.72</v>
      </c>
      <c r="H691" s="458">
        <v>-2401021.0699999998</v>
      </c>
      <c r="I691" s="458">
        <v>1522547.35</v>
      </c>
      <c r="J691" s="456" t="s">
        <v>2634</v>
      </c>
      <c r="K691" s="456" t="s">
        <v>778</v>
      </c>
      <c r="L691" s="456" t="s">
        <v>164</v>
      </c>
    </row>
    <row r="692" spans="1:12" x14ac:dyDescent="0.2">
      <c r="A692" s="456" t="s">
        <v>778</v>
      </c>
      <c r="B692" s="456" t="s">
        <v>2577</v>
      </c>
      <c r="C692" s="456" t="s">
        <v>780</v>
      </c>
      <c r="D692" s="456" t="s">
        <v>780</v>
      </c>
      <c r="E692" s="456" t="s">
        <v>2635</v>
      </c>
      <c r="F692" s="457" t="s">
        <v>2636</v>
      </c>
      <c r="G692" s="458">
        <v>52496157.939999998</v>
      </c>
      <c r="H692" s="461">
        <v>0</v>
      </c>
      <c r="I692" s="458">
        <v>52496157.939999998</v>
      </c>
      <c r="J692" s="456" t="s">
        <v>299</v>
      </c>
      <c r="K692" s="456" t="s">
        <v>778</v>
      </c>
      <c r="L692" s="456" t="s">
        <v>164</v>
      </c>
    </row>
    <row r="693" spans="1:12" x14ac:dyDescent="0.2">
      <c r="A693" s="459" t="s">
        <v>794</v>
      </c>
      <c r="B693" s="459" t="s">
        <v>2577</v>
      </c>
      <c r="C693" s="459" t="s">
        <v>299</v>
      </c>
      <c r="D693" s="459" t="s">
        <v>299</v>
      </c>
      <c r="E693" s="459" t="s">
        <v>299</v>
      </c>
      <c r="F693" s="457" t="s">
        <v>2637</v>
      </c>
      <c r="G693" s="460">
        <v>-33205795.989999998</v>
      </c>
      <c r="H693" s="460">
        <v>-86246404.159999996</v>
      </c>
      <c r="I693" s="460">
        <v>53040608.170000002</v>
      </c>
      <c r="J693" s="459" t="s">
        <v>2638</v>
      </c>
      <c r="K693" s="459" t="s">
        <v>778</v>
      </c>
      <c r="L693" s="459" t="s">
        <v>164</v>
      </c>
    </row>
    <row r="694" spans="1:12" x14ac:dyDescent="0.2">
      <c r="A694" s="459" t="s">
        <v>848</v>
      </c>
      <c r="B694" s="459" t="s">
        <v>2639</v>
      </c>
      <c r="C694" s="459" t="s">
        <v>299</v>
      </c>
      <c r="D694" s="459" t="s">
        <v>299</v>
      </c>
      <c r="E694" s="459" t="s">
        <v>299</v>
      </c>
      <c r="F694" s="457" t="s">
        <v>2640</v>
      </c>
      <c r="G694" s="460">
        <v>-321741066.02999997</v>
      </c>
      <c r="H694" s="460">
        <v>-563921374.88</v>
      </c>
      <c r="I694" s="460">
        <v>242180308.84999999</v>
      </c>
      <c r="J694" s="459" t="s">
        <v>2641</v>
      </c>
      <c r="K694" s="459" t="s">
        <v>778</v>
      </c>
      <c r="L694" s="459" t="s">
        <v>164</v>
      </c>
    </row>
    <row r="695" spans="1:12" x14ac:dyDescent="0.2">
      <c r="A695" s="456" t="s">
        <v>794</v>
      </c>
      <c r="B695" s="456" t="s">
        <v>2642</v>
      </c>
      <c r="C695" s="456" t="s">
        <v>779</v>
      </c>
      <c r="D695" s="456" t="s">
        <v>784</v>
      </c>
      <c r="E695" s="456" t="s">
        <v>2643</v>
      </c>
      <c r="F695" s="457" t="s">
        <v>2644</v>
      </c>
      <c r="G695" s="458">
        <v>-212862.19</v>
      </c>
      <c r="H695" s="458">
        <v>-112592.21</v>
      </c>
      <c r="I695" s="458">
        <v>-100269.98</v>
      </c>
      <c r="J695" s="456" t="s">
        <v>2645</v>
      </c>
      <c r="K695" s="456" t="s">
        <v>778</v>
      </c>
      <c r="L695" s="456" t="s">
        <v>164</v>
      </c>
    </row>
    <row r="696" spans="1:12" x14ac:dyDescent="0.2">
      <c r="A696" s="456" t="s">
        <v>794</v>
      </c>
      <c r="B696" s="456" t="s">
        <v>2642</v>
      </c>
      <c r="C696" s="456" t="s">
        <v>779</v>
      </c>
      <c r="D696" s="456" t="s">
        <v>784</v>
      </c>
      <c r="E696" s="456" t="s">
        <v>2646</v>
      </c>
      <c r="F696" s="457" t="s">
        <v>2647</v>
      </c>
      <c r="G696" s="458">
        <v>3401535.06</v>
      </c>
      <c r="H696" s="461">
        <v>0</v>
      </c>
      <c r="I696" s="458">
        <v>3401535.06</v>
      </c>
      <c r="J696" s="456" t="s">
        <v>299</v>
      </c>
      <c r="K696" s="456" t="s">
        <v>778</v>
      </c>
      <c r="L696" s="456" t="s">
        <v>164</v>
      </c>
    </row>
    <row r="697" spans="1:12" x14ac:dyDescent="0.2">
      <c r="A697" s="456" t="s">
        <v>794</v>
      </c>
      <c r="B697" s="456" t="s">
        <v>2642</v>
      </c>
      <c r="C697" s="456" t="s">
        <v>779</v>
      </c>
      <c r="D697" s="456" t="s">
        <v>780</v>
      </c>
      <c r="E697" s="456" t="s">
        <v>2648</v>
      </c>
      <c r="F697" s="457" t="s">
        <v>2649</v>
      </c>
      <c r="G697" s="458">
        <v>-3392419.91</v>
      </c>
      <c r="H697" s="461">
        <v>0</v>
      </c>
      <c r="I697" s="458">
        <v>-3392419.91</v>
      </c>
      <c r="J697" s="456" t="s">
        <v>299</v>
      </c>
      <c r="K697" s="456" t="s">
        <v>778</v>
      </c>
      <c r="L697" s="456" t="s">
        <v>164</v>
      </c>
    </row>
    <row r="698" spans="1:12" x14ac:dyDescent="0.2">
      <c r="A698" s="459" t="s">
        <v>848</v>
      </c>
      <c r="B698" s="459" t="s">
        <v>2642</v>
      </c>
      <c r="C698" s="459" t="s">
        <v>299</v>
      </c>
      <c r="D698" s="459" t="s">
        <v>299</v>
      </c>
      <c r="E698" s="459" t="s">
        <v>299</v>
      </c>
      <c r="F698" s="457" t="s">
        <v>2650</v>
      </c>
      <c r="G698" s="460">
        <v>-203747.04</v>
      </c>
      <c r="H698" s="460">
        <v>-112592.21</v>
      </c>
      <c r="I698" s="460">
        <v>-91154.83</v>
      </c>
      <c r="J698" s="459" t="s">
        <v>1769</v>
      </c>
      <c r="K698" s="459" t="s">
        <v>778</v>
      </c>
      <c r="L698" s="459" t="s">
        <v>164</v>
      </c>
    </row>
    <row r="699" spans="1:12" x14ac:dyDescent="0.2">
      <c r="A699" s="459" t="s">
        <v>1162</v>
      </c>
      <c r="B699" s="459" t="s">
        <v>2651</v>
      </c>
      <c r="C699" s="459" t="s">
        <v>299</v>
      </c>
      <c r="D699" s="459" t="s">
        <v>299</v>
      </c>
      <c r="E699" s="459" t="s">
        <v>299</v>
      </c>
      <c r="F699" s="457" t="s">
        <v>2652</v>
      </c>
      <c r="G699" s="460">
        <v>-321944813.06999999</v>
      </c>
      <c r="H699" s="460">
        <v>-564033967.09000003</v>
      </c>
      <c r="I699" s="460">
        <v>242089154.02000001</v>
      </c>
      <c r="J699" s="459" t="s">
        <v>2641</v>
      </c>
      <c r="K699" s="459" t="s">
        <v>778</v>
      </c>
      <c r="L699" s="459" t="s">
        <v>164</v>
      </c>
    </row>
    <row r="700" spans="1:12" x14ac:dyDescent="0.2">
      <c r="A700" s="456" t="s">
        <v>778</v>
      </c>
      <c r="B700" s="456" t="s">
        <v>2653</v>
      </c>
      <c r="C700" s="456" t="s">
        <v>779</v>
      </c>
      <c r="D700" s="456" t="s">
        <v>780</v>
      </c>
      <c r="E700" s="456" t="s">
        <v>2654</v>
      </c>
      <c r="F700" s="457" t="s">
        <v>2655</v>
      </c>
      <c r="G700" s="458">
        <v>-102116.9</v>
      </c>
      <c r="H700" s="461">
        <v>0</v>
      </c>
      <c r="I700" s="458">
        <v>-102116.9</v>
      </c>
      <c r="J700" s="456" t="s">
        <v>299</v>
      </c>
      <c r="K700" s="456" t="s">
        <v>778</v>
      </c>
      <c r="L700" s="456" t="s">
        <v>164</v>
      </c>
    </row>
    <row r="701" spans="1:12" x14ac:dyDescent="0.2">
      <c r="A701" s="456" t="s">
        <v>778</v>
      </c>
      <c r="B701" s="456" t="s">
        <v>2653</v>
      </c>
      <c r="C701" s="456" t="s">
        <v>779</v>
      </c>
      <c r="D701" s="456" t="s">
        <v>780</v>
      </c>
      <c r="E701" s="456" t="s">
        <v>2656</v>
      </c>
      <c r="F701" s="457" t="s">
        <v>2657</v>
      </c>
      <c r="G701" s="458">
        <v>55971.16</v>
      </c>
      <c r="H701" s="458">
        <v>1281.1500000000001</v>
      </c>
      <c r="I701" s="458">
        <v>54690.01</v>
      </c>
      <c r="J701" s="456" t="s">
        <v>2658</v>
      </c>
      <c r="K701" s="456" t="s">
        <v>778</v>
      </c>
      <c r="L701" s="456" t="s">
        <v>164</v>
      </c>
    </row>
    <row r="702" spans="1:12" x14ac:dyDescent="0.2">
      <c r="A702" s="456" t="s">
        <v>778</v>
      </c>
      <c r="B702" s="456" t="s">
        <v>2653</v>
      </c>
      <c r="C702" s="456" t="s">
        <v>779</v>
      </c>
      <c r="D702" s="456" t="s">
        <v>299</v>
      </c>
      <c r="E702" s="456" t="s">
        <v>2659</v>
      </c>
      <c r="F702" s="457" t="s">
        <v>2660</v>
      </c>
      <c r="G702" s="461">
        <v>-15.2</v>
      </c>
      <c r="H702" s="461">
        <v>0</v>
      </c>
      <c r="I702" s="461">
        <v>-15.2</v>
      </c>
      <c r="J702" s="456" t="s">
        <v>299</v>
      </c>
      <c r="K702" s="456" t="s">
        <v>778</v>
      </c>
      <c r="L702" s="456" t="s">
        <v>164</v>
      </c>
    </row>
    <row r="703" spans="1:12" x14ac:dyDescent="0.2">
      <c r="A703" s="456" t="s">
        <v>778</v>
      </c>
      <c r="B703" s="456" t="s">
        <v>2653</v>
      </c>
      <c r="C703" s="456" t="s">
        <v>780</v>
      </c>
      <c r="D703" s="456" t="s">
        <v>780</v>
      </c>
      <c r="E703" s="456" t="s">
        <v>2661</v>
      </c>
      <c r="F703" s="457" t="s">
        <v>2662</v>
      </c>
      <c r="G703" s="458">
        <v>-11092554.289999999</v>
      </c>
      <c r="H703" s="458">
        <v>-7911140.8200000003</v>
      </c>
      <c r="I703" s="458">
        <v>-3181413.47</v>
      </c>
      <c r="J703" s="456" t="s">
        <v>2663</v>
      </c>
      <c r="K703" s="456" t="s">
        <v>778</v>
      </c>
      <c r="L703" s="456" t="s">
        <v>164</v>
      </c>
    </row>
    <row r="704" spans="1:12" x14ac:dyDescent="0.2">
      <c r="A704" s="459" t="s">
        <v>794</v>
      </c>
      <c r="B704" s="459" t="s">
        <v>2653</v>
      </c>
      <c r="C704" s="459" t="s">
        <v>299</v>
      </c>
      <c r="D704" s="459" t="s">
        <v>299</v>
      </c>
      <c r="E704" s="459" t="s">
        <v>299</v>
      </c>
      <c r="F704" s="457" t="s">
        <v>2664</v>
      </c>
      <c r="G704" s="460">
        <v>-11138715.23</v>
      </c>
      <c r="H704" s="460">
        <v>-7909859.6699999999</v>
      </c>
      <c r="I704" s="460">
        <v>-3228855.56</v>
      </c>
      <c r="J704" s="459" t="s">
        <v>2665</v>
      </c>
      <c r="K704" s="459" t="s">
        <v>778</v>
      </c>
      <c r="L704" s="459" t="s">
        <v>164</v>
      </c>
    </row>
    <row r="705" spans="1:12" x14ac:dyDescent="0.2">
      <c r="A705" s="456" t="s">
        <v>778</v>
      </c>
      <c r="B705" s="456" t="s">
        <v>2666</v>
      </c>
      <c r="C705" s="456" t="s">
        <v>779</v>
      </c>
      <c r="D705" s="456" t="s">
        <v>780</v>
      </c>
      <c r="E705" s="456" t="s">
        <v>2667</v>
      </c>
      <c r="F705" s="457" t="s">
        <v>2668</v>
      </c>
      <c r="G705" s="458">
        <v>-415872.92</v>
      </c>
      <c r="H705" s="458">
        <v>-260906.54</v>
      </c>
      <c r="I705" s="458">
        <v>-154966.38</v>
      </c>
      <c r="J705" s="456" t="s">
        <v>2669</v>
      </c>
      <c r="K705" s="456" t="s">
        <v>778</v>
      </c>
      <c r="L705" s="456" t="s">
        <v>164</v>
      </c>
    </row>
    <row r="706" spans="1:12" x14ac:dyDescent="0.2">
      <c r="A706" s="456" t="s">
        <v>778</v>
      </c>
      <c r="B706" s="456" t="s">
        <v>2666</v>
      </c>
      <c r="C706" s="456" t="s">
        <v>779</v>
      </c>
      <c r="D706" s="456" t="s">
        <v>780</v>
      </c>
      <c r="E706" s="456" t="s">
        <v>2670</v>
      </c>
      <c r="F706" s="457" t="s">
        <v>2671</v>
      </c>
      <c r="G706" s="458">
        <v>365786.63</v>
      </c>
      <c r="H706" s="458">
        <v>297580.83</v>
      </c>
      <c r="I706" s="458">
        <v>68205.8</v>
      </c>
      <c r="J706" s="456" t="s">
        <v>2504</v>
      </c>
      <c r="K706" s="456" t="s">
        <v>778</v>
      </c>
      <c r="L706" s="456" t="s">
        <v>164</v>
      </c>
    </row>
    <row r="707" spans="1:12" x14ac:dyDescent="0.2">
      <c r="A707" s="456" t="s">
        <v>778</v>
      </c>
      <c r="B707" s="456" t="s">
        <v>2666</v>
      </c>
      <c r="C707" s="456" t="s">
        <v>780</v>
      </c>
      <c r="D707" s="456" t="s">
        <v>780</v>
      </c>
      <c r="E707" s="456" t="s">
        <v>2672</v>
      </c>
      <c r="F707" s="457" t="s">
        <v>2673</v>
      </c>
      <c r="G707" s="458">
        <v>-62276380.240000002</v>
      </c>
      <c r="H707" s="458">
        <v>-24995790.82</v>
      </c>
      <c r="I707" s="458">
        <v>-37280589.420000002</v>
      </c>
      <c r="J707" s="456" t="s">
        <v>2674</v>
      </c>
      <c r="K707" s="456" t="s">
        <v>778</v>
      </c>
      <c r="L707" s="456" t="s">
        <v>164</v>
      </c>
    </row>
    <row r="708" spans="1:12" x14ac:dyDescent="0.2">
      <c r="A708" s="456" t="s">
        <v>778</v>
      </c>
      <c r="B708" s="456" t="s">
        <v>2666</v>
      </c>
      <c r="C708" s="456" t="s">
        <v>779</v>
      </c>
      <c r="D708" s="456" t="s">
        <v>784</v>
      </c>
      <c r="E708" s="456" t="s">
        <v>2675</v>
      </c>
      <c r="F708" s="457" t="s">
        <v>2676</v>
      </c>
      <c r="G708" s="458">
        <v>-14699.94</v>
      </c>
      <c r="H708" s="458">
        <v>-17049.41</v>
      </c>
      <c r="I708" s="458">
        <v>2349.4699999999998</v>
      </c>
      <c r="J708" s="456" t="s">
        <v>2677</v>
      </c>
      <c r="K708" s="456" t="s">
        <v>778</v>
      </c>
      <c r="L708" s="456" t="s">
        <v>164</v>
      </c>
    </row>
    <row r="709" spans="1:12" x14ac:dyDescent="0.2">
      <c r="A709" s="456" t="s">
        <v>778</v>
      </c>
      <c r="B709" s="456" t="s">
        <v>2666</v>
      </c>
      <c r="C709" s="456" t="s">
        <v>779</v>
      </c>
      <c r="D709" s="456" t="s">
        <v>784</v>
      </c>
      <c r="E709" s="456" t="s">
        <v>2678</v>
      </c>
      <c r="F709" s="457" t="s">
        <v>2679</v>
      </c>
      <c r="G709" s="458">
        <v>966456.69</v>
      </c>
      <c r="H709" s="458">
        <v>-245105.04</v>
      </c>
      <c r="I709" s="458">
        <v>1211561.73</v>
      </c>
      <c r="J709" s="456" t="s">
        <v>2680</v>
      </c>
      <c r="K709" s="456" t="s">
        <v>778</v>
      </c>
      <c r="L709" s="456" t="s">
        <v>164</v>
      </c>
    </row>
    <row r="710" spans="1:12" x14ac:dyDescent="0.2">
      <c r="A710" s="456" t="s">
        <v>778</v>
      </c>
      <c r="B710" s="456" t="s">
        <v>2666</v>
      </c>
      <c r="C710" s="456" t="s">
        <v>779</v>
      </c>
      <c r="D710" s="456" t="s">
        <v>780</v>
      </c>
      <c r="E710" s="456" t="s">
        <v>2681</v>
      </c>
      <c r="F710" s="457" t="s">
        <v>2682</v>
      </c>
      <c r="G710" s="458">
        <v>-4937296.8499999996</v>
      </c>
      <c r="H710" s="461">
        <v>0</v>
      </c>
      <c r="I710" s="458">
        <v>-4937296.8499999996</v>
      </c>
      <c r="J710" s="456" t="s">
        <v>299</v>
      </c>
      <c r="K710" s="456" t="s">
        <v>778</v>
      </c>
      <c r="L710" s="456" t="s">
        <v>164</v>
      </c>
    </row>
    <row r="711" spans="1:12" x14ac:dyDescent="0.2">
      <c r="A711" s="456" t="s">
        <v>778</v>
      </c>
      <c r="B711" s="456" t="s">
        <v>2666</v>
      </c>
      <c r="C711" s="456" t="s">
        <v>779</v>
      </c>
      <c r="D711" s="456" t="s">
        <v>780</v>
      </c>
      <c r="E711" s="456" t="s">
        <v>2683</v>
      </c>
      <c r="F711" s="457" t="s">
        <v>2684</v>
      </c>
      <c r="G711" s="458">
        <v>-1591413.7</v>
      </c>
      <c r="H711" s="458">
        <v>-1038389.78</v>
      </c>
      <c r="I711" s="458">
        <v>-553023.92000000004</v>
      </c>
      <c r="J711" s="456" t="s">
        <v>2685</v>
      </c>
      <c r="K711" s="456" t="s">
        <v>778</v>
      </c>
      <c r="L711" s="456" t="s">
        <v>164</v>
      </c>
    </row>
    <row r="712" spans="1:12" x14ac:dyDescent="0.2">
      <c r="A712" s="456" t="s">
        <v>778</v>
      </c>
      <c r="B712" s="456" t="s">
        <v>2666</v>
      </c>
      <c r="C712" s="456" t="s">
        <v>779</v>
      </c>
      <c r="D712" s="456" t="s">
        <v>780</v>
      </c>
      <c r="E712" s="456" t="s">
        <v>2686</v>
      </c>
      <c r="F712" s="457" t="s">
        <v>2687</v>
      </c>
      <c r="G712" s="461">
        <v>-721.02</v>
      </c>
      <c r="H712" s="458">
        <v>18300.16</v>
      </c>
      <c r="I712" s="458">
        <v>-19021.18</v>
      </c>
      <c r="J712" s="456" t="s">
        <v>2688</v>
      </c>
      <c r="K712" s="456" t="s">
        <v>778</v>
      </c>
      <c r="L712" s="456" t="s">
        <v>164</v>
      </c>
    </row>
    <row r="713" spans="1:12" x14ac:dyDescent="0.2">
      <c r="A713" s="456" t="s">
        <v>778</v>
      </c>
      <c r="B713" s="456" t="s">
        <v>2666</v>
      </c>
      <c r="C713" s="456" t="s">
        <v>779</v>
      </c>
      <c r="D713" s="456" t="s">
        <v>1220</v>
      </c>
      <c r="E713" s="456" t="s">
        <v>2689</v>
      </c>
      <c r="F713" s="457" t="s">
        <v>2690</v>
      </c>
      <c r="G713" s="458">
        <v>270977.95</v>
      </c>
      <c r="H713" s="458">
        <v>55074.879999999997</v>
      </c>
      <c r="I713" s="458">
        <v>215903.07</v>
      </c>
      <c r="J713" s="456" t="s">
        <v>2691</v>
      </c>
      <c r="K713" s="456" t="s">
        <v>778</v>
      </c>
      <c r="L713" s="456" t="s">
        <v>164</v>
      </c>
    </row>
    <row r="714" spans="1:12" x14ac:dyDescent="0.2">
      <c r="A714" s="456" t="s">
        <v>778</v>
      </c>
      <c r="B714" s="456" t="s">
        <v>2666</v>
      </c>
      <c r="C714" s="456" t="s">
        <v>779</v>
      </c>
      <c r="D714" s="456" t="s">
        <v>1220</v>
      </c>
      <c r="E714" s="456" t="s">
        <v>2692</v>
      </c>
      <c r="F714" s="457" t="s">
        <v>2693</v>
      </c>
      <c r="G714" s="458">
        <v>-13511.31</v>
      </c>
      <c r="H714" s="458">
        <v>-7550.26</v>
      </c>
      <c r="I714" s="458">
        <v>-5961.05</v>
      </c>
      <c r="J714" s="456" t="s">
        <v>1707</v>
      </c>
      <c r="K714" s="456" t="s">
        <v>778</v>
      </c>
      <c r="L714" s="456" t="s">
        <v>164</v>
      </c>
    </row>
    <row r="715" spans="1:12" x14ac:dyDescent="0.2">
      <c r="A715" s="456" t="s">
        <v>778</v>
      </c>
      <c r="B715" s="456" t="s">
        <v>2666</v>
      </c>
      <c r="C715" s="456" t="s">
        <v>779</v>
      </c>
      <c r="D715" s="456" t="s">
        <v>780</v>
      </c>
      <c r="E715" s="456" t="s">
        <v>2694</v>
      </c>
      <c r="F715" s="457" t="s">
        <v>2695</v>
      </c>
      <c r="G715" s="458">
        <v>-288081.63</v>
      </c>
      <c r="H715" s="458">
        <v>-39987.08</v>
      </c>
      <c r="I715" s="458">
        <v>-248094.55</v>
      </c>
      <c r="J715" s="456" t="s">
        <v>2696</v>
      </c>
      <c r="K715" s="456" t="s">
        <v>778</v>
      </c>
      <c r="L715" s="456" t="s">
        <v>164</v>
      </c>
    </row>
    <row r="716" spans="1:12" x14ac:dyDescent="0.2">
      <c r="A716" s="456" t="s">
        <v>778</v>
      </c>
      <c r="B716" s="456" t="s">
        <v>2666</v>
      </c>
      <c r="C716" s="456" t="s">
        <v>779</v>
      </c>
      <c r="D716" s="456" t="s">
        <v>780</v>
      </c>
      <c r="E716" s="456" t="s">
        <v>2697</v>
      </c>
      <c r="F716" s="457" t="s">
        <v>2698</v>
      </c>
      <c r="G716" s="458">
        <v>299230.24</v>
      </c>
      <c r="H716" s="458">
        <v>482372.46</v>
      </c>
      <c r="I716" s="458">
        <v>-183142.22</v>
      </c>
      <c r="J716" s="456" t="s">
        <v>2699</v>
      </c>
      <c r="K716" s="456" t="s">
        <v>778</v>
      </c>
      <c r="L716" s="456" t="s">
        <v>164</v>
      </c>
    </row>
    <row r="717" spans="1:12" x14ac:dyDescent="0.2">
      <c r="A717" s="456" t="s">
        <v>778</v>
      </c>
      <c r="B717" s="456" t="s">
        <v>2666</v>
      </c>
      <c r="C717" s="456" t="s">
        <v>780</v>
      </c>
      <c r="D717" s="456" t="s">
        <v>780</v>
      </c>
      <c r="E717" s="456" t="s">
        <v>2700</v>
      </c>
      <c r="F717" s="457" t="s">
        <v>2701</v>
      </c>
      <c r="G717" s="458">
        <v>-52496157.939999998</v>
      </c>
      <c r="H717" s="461">
        <v>0</v>
      </c>
      <c r="I717" s="458">
        <v>-52496157.939999998</v>
      </c>
      <c r="J717" s="456" t="s">
        <v>299</v>
      </c>
      <c r="K717" s="456" t="s">
        <v>778</v>
      </c>
      <c r="L717" s="456" t="s">
        <v>164</v>
      </c>
    </row>
    <row r="718" spans="1:12" x14ac:dyDescent="0.2">
      <c r="A718" s="459" t="s">
        <v>794</v>
      </c>
      <c r="B718" s="459" t="s">
        <v>2666</v>
      </c>
      <c r="C718" s="459" t="s">
        <v>299</v>
      </c>
      <c r="D718" s="459" t="s">
        <v>299</v>
      </c>
      <c r="E718" s="459" t="s">
        <v>299</v>
      </c>
      <c r="F718" s="457" t="s">
        <v>2702</v>
      </c>
      <c r="G718" s="460">
        <v>-120131684.04000001</v>
      </c>
      <c r="H718" s="460">
        <v>-25751450.600000001</v>
      </c>
      <c r="I718" s="460">
        <v>-94380233.439999998</v>
      </c>
      <c r="J718" s="459" t="s">
        <v>2703</v>
      </c>
      <c r="K718" s="459" t="s">
        <v>778</v>
      </c>
      <c r="L718" s="459" t="s">
        <v>164</v>
      </c>
    </row>
    <row r="719" spans="1:12" x14ac:dyDescent="0.2">
      <c r="A719" s="456" t="s">
        <v>778</v>
      </c>
      <c r="B719" s="456" t="s">
        <v>2704</v>
      </c>
      <c r="C719" s="456" t="s">
        <v>779</v>
      </c>
      <c r="D719" s="456" t="s">
        <v>780</v>
      </c>
      <c r="E719" s="456" t="s">
        <v>2705</v>
      </c>
      <c r="F719" s="457" t="s">
        <v>2706</v>
      </c>
      <c r="G719" s="458">
        <v>-501857.46</v>
      </c>
      <c r="H719" s="458">
        <v>-3756.09</v>
      </c>
      <c r="I719" s="458">
        <v>-498101.37</v>
      </c>
      <c r="J719" s="456" t="s">
        <v>2707</v>
      </c>
      <c r="K719" s="456" t="s">
        <v>778</v>
      </c>
      <c r="L719" s="456" t="s">
        <v>164</v>
      </c>
    </row>
    <row r="720" spans="1:12" x14ac:dyDescent="0.2">
      <c r="A720" s="456" t="s">
        <v>778</v>
      </c>
      <c r="B720" s="456" t="s">
        <v>2704</v>
      </c>
      <c r="C720" s="456" t="s">
        <v>779</v>
      </c>
      <c r="D720" s="456" t="s">
        <v>780</v>
      </c>
      <c r="E720" s="456" t="s">
        <v>2708</v>
      </c>
      <c r="F720" s="457" t="s">
        <v>2709</v>
      </c>
      <c r="G720" s="458">
        <v>-475372.85</v>
      </c>
      <c r="H720" s="458">
        <v>-567966.03</v>
      </c>
      <c r="I720" s="458">
        <v>92593.18</v>
      </c>
      <c r="J720" s="456" t="s">
        <v>2710</v>
      </c>
      <c r="K720" s="456" t="s">
        <v>778</v>
      </c>
      <c r="L720" s="456" t="s">
        <v>164</v>
      </c>
    </row>
    <row r="721" spans="1:12" x14ac:dyDescent="0.2">
      <c r="A721" s="459" t="s">
        <v>794</v>
      </c>
      <c r="B721" s="459" t="s">
        <v>2704</v>
      </c>
      <c r="C721" s="459" t="s">
        <v>299</v>
      </c>
      <c r="D721" s="459" t="s">
        <v>299</v>
      </c>
      <c r="E721" s="459" t="s">
        <v>299</v>
      </c>
      <c r="F721" s="457" t="s">
        <v>2711</v>
      </c>
      <c r="G721" s="460">
        <v>-977230.31</v>
      </c>
      <c r="H721" s="460">
        <v>-571722.12</v>
      </c>
      <c r="I721" s="460">
        <v>-405508.19</v>
      </c>
      <c r="J721" s="459" t="s">
        <v>2712</v>
      </c>
      <c r="K721" s="459" t="s">
        <v>778</v>
      </c>
      <c r="L721" s="459" t="s">
        <v>164</v>
      </c>
    </row>
    <row r="722" spans="1:12" x14ac:dyDescent="0.2">
      <c r="A722" s="459" t="s">
        <v>848</v>
      </c>
      <c r="B722" s="459" t="s">
        <v>2713</v>
      </c>
      <c r="C722" s="459" t="s">
        <v>299</v>
      </c>
      <c r="D722" s="459" t="s">
        <v>299</v>
      </c>
      <c r="E722" s="459" t="s">
        <v>299</v>
      </c>
      <c r="F722" s="457" t="s">
        <v>2714</v>
      </c>
      <c r="G722" s="460">
        <v>-132247629.58</v>
      </c>
      <c r="H722" s="460">
        <v>-34233032.390000001</v>
      </c>
      <c r="I722" s="460">
        <v>-98014597.189999998</v>
      </c>
      <c r="J722" s="459" t="s">
        <v>2715</v>
      </c>
      <c r="K722" s="459" t="s">
        <v>778</v>
      </c>
      <c r="L722" s="459" t="s">
        <v>164</v>
      </c>
    </row>
    <row r="723" spans="1:12" x14ac:dyDescent="0.2">
      <c r="A723" s="456" t="s">
        <v>794</v>
      </c>
      <c r="B723" s="456" t="s">
        <v>2716</v>
      </c>
      <c r="C723" s="456" t="s">
        <v>779</v>
      </c>
      <c r="D723" s="456" t="s">
        <v>1220</v>
      </c>
      <c r="E723" s="456" t="s">
        <v>2717</v>
      </c>
      <c r="F723" s="457" t="s">
        <v>2718</v>
      </c>
      <c r="G723" s="458">
        <v>-8699236.1099999994</v>
      </c>
      <c r="H723" s="458">
        <v>-5782632.2300000004</v>
      </c>
      <c r="I723" s="458">
        <v>-2916603.88</v>
      </c>
      <c r="J723" s="456" t="s">
        <v>1308</v>
      </c>
      <c r="K723" s="456" t="s">
        <v>778</v>
      </c>
      <c r="L723" s="456" t="s">
        <v>164</v>
      </c>
    </row>
    <row r="724" spans="1:12" x14ac:dyDescent="0.2">
      <c r="A724" s="459" t="s">
        <v>848</v>
      </c>
      <c r="B724" s="459" t="s">
        <v>2716</v>
      </c>
      <c r="C724" s="459" t="s">
        <v>299</v>
      </c>
      <c r="D724" s="459" t="s">
        <v>299</v>
      </c>
      <c r="E724" s="459" t="s">
        <v>299</v>
      </c>
      <c r="F724" s="457" t="s">
        <v>2719</v>
      </c>
      <c r="G724" s="460">
        <v>-8699236.1099999994</v>
      </c>
      <c r="H724" s="460">
        <v>-5782632.2300000004</v>
      </c>
      <c r="I724" s="460">
        <v>-2916603.88</v>
      </c>
      <c r="J724" s="459" t="s">
        <v>1308</v>
      </c>
      <c r="K724" s="459" t="s">
        <v>778</v>
      </c>
      <c r="L724" s="459" t="s">
        <v>164</v>
      </c>
    </row>
    <row r="725" spans="1:12" x14ac:dyDescent="0.2">
      <c r="A725" s="456" t="s">
        <v>794</v>
      </c>
      <c r="B725" s="456" t="s">
        <v>2720</v>
      </c>
      <c r="C725" s="456" t="s">
        <v>779</v>
      </c>
      <c r="D725" s="456" t="s">
        <v>801</v>
      </c>
      <c r="E725" s="456" t="s">
        <v>2721</v>
      </c>
      <c r="F725" s="457" t="s">
        <v>2722</v>
      </c>
      <c r="G725" s="461">
        <v>0</v>
      </c>
      <c r="H725" s="458">
        <v>-128919101</v>
      </c>
      <c r="I725" s="458">
        <v>128919101</v>
      </c>
      <c r="J725" s="456" t="s">
        <v>810</v>
      </c>
      <c r="K725" s="456" t="s">
        <v>778</v>
      </c>
      <c r="L725" s="456" t="s">
        <v>164</v>
      </c>
    </row>
    <row r="726" spans="1:12" x14ac:dyDescent="0.2">
      <c r="A726" s="456" t="s">
        <v>794</v>
      </c>
      <c r="B726" s="456" t="s">
        <v>2720</v>
      </c>
      <c r="C726" s="456" t="s">
        <v>779</v>
      </c>
      <c r="D726" s="456" t="s">
        <v>1220</v>
      </c>
      <c r="E726" s="456" t="s">
        <v>2723</v>
      </c>
      <c r="F726" s="457" t="s">
        <v>2724</v>
      </c>
      <c r="G726" s="461">
        <v>0</v>
      </c>
      <c r="H726" s="458">
        <v>-1053322.31</v>
      </c>
      <c r="I726" s="458">
        <v>1053322.31</v>
      </c>
      <c r="J726" s="456" t="s">
        <v>810</v>
      </c>
      <c r="K726" s="456" t="s">
        <v>778</v>
      </c>
      <c r="L726" s="456" t="s">
        <v>164</v>
      </c>
    </row>
    <row r="727" spans="1:12" x14ac:dyDescent="0.2">
      <c r="A727" s="456" t="s">
        <v>794</v>
      </c>
      <c r="B727" s="456" t="s">
        <v>2720</v>
      </c>
      <c r="C727" s="456" t="s">
        <v>779</v>
      </c>
      <c r="D727" s="456" t="s">
        <v>1220</v>
      </c>
      <c r="E727" s="456" t="s">
        <v>2725</v>
      </c>
      <c r="F727" s="457" t="s">
        <v>2726</v>
      </c>
      <c r="G727" s="461">
        <v>0</v>
      </c>
      <c r="H727" s="458">
        <v>-14313327.960000001</v>
      </c>
      <c r="I727" s="458">
        <v>14313327.960000001</v>
      </c>
      <c r="J727" s="456" t="s">
        <v>810</v>
      </c>
      <c r="K727" s="456" t="s">
        <v>778</v>
      </c>
      <c r="L727" s="456" t="s">
        <v>164</v>
      </c>
    </row>
    <row r="728" spans="1:12" x14ac:dyDescent="0.2">
      <c r="A728" s="456" t="s">
        <v>794</v>
      </c>
      <c r="B728" s="456" t="s">
        <v>2720</v>
      </c>
      <c r="C728" s="456" t="s">
        <v>780</v>
      </c>
      <c r="D728" s="456" t="s">
        <v>1220</v>
      </c>
      <c r="E728" s="456" t="s">
        <v>2727</v>
      </c>
      <c r="F728" s="457" t="s">
        <v>2728</v>
      </c>
      <c r="G728" s="461">
        <v>0</v>
      </c>
      <c r="H728" s="458">
        <v>1372.52</v>
      </c>
      <c r="I728" s="458">
        <v>-1372.52</v>
      </c>
      <c r="J728" s="456" t="s">
        <v>826</v>
      </c>
      <c r="K728" s="456" t="s">
        <v>778</v>
      </c>
      <c r="L728" s="456" t="s">
        <v>164</v>
      </c>
    </row>
    <row r="729" spans="1:12" x14ac:dyDescent="0.2">
      <c r="A729" s="459" t="s">
        <v>848</v>
      </c>
      <c r="B729" s="459" t="s">
        <v>2720</v>
      </c>
      <c r="C729" s="459" t="s">
        <v>299</v>
      </c>
      <c r="D729" s="459" t="s">
        <v>299</v>
      </c>
      <c r="E729" s="459" t="s">
        <v>299</v>
      </c>
      <c r="F729" s="457" t="s">
        <v>2729</v>
      </c>
      <c r="G729" s="462">
        <v>0</v>
      </c>
      <c r="H729" s="460">
        <v>-144284378.75</v>
      </c>
      <c r="I729" s="460">
        <v>144284378.75</v>
      </c>
      <c r="J729" s="459" t="s">
        <v>810</v>
      </c>
      <c r="K729" s="459" t="s">
        <v>778</v>
      </c>
      <c r="L729" s="459" t="s">
        <v>164</v>
      </c>
    </row>
    <row r="730" spans="1:12" x14ac:dyDescent="0.2">
      <c r="A730" s="459" t="s">
        <v>1162</v>
      </c>
      <c r="B730" s="459" t="s">
        <v>2730</v>
      </c>
      <c r="C730" s="459" t="s">
        <v>299</v>
      </c>
      <c r="D730" s="459" t="s">
        <v>299</v>
      </c>
      <c r="E730" s="459" t="s">
        <v>299</v>
      </c>
      <c r="F730" s="457" t="s">
        <v>2731</v>
      </c>
      <c r="G730" s="460">
        <v>-140946865.69</v>
      </c>
      <c r="H730" s="460">
        <v>-184300043.37</v>
      </c>
      <c r="I730" s="460">
        <v>43353177.68</v>
      </c>
      <c r="J730" s="459" t="s">
        <v>2732</v>
      </c>
      <c r="K730" s="459" t="s">
        <v>778</v>
      </c>
      <c r="L730" s="459" t="s">
        <v>164</v>
      </c>
    </row>
    <row r="731" spans="1:12" x14ac:dyDescent="0.2">
      <c r="A731" s="459" t="s">
        <v>2001</v>
      </c>
      <c r="B731" s="459" t="s">
        <v>2733</v>
      </c>
      <c r="C731" s="459" t="s">
        <v>299</v>
      </c>
      <c r="D731" s="459" t="s">
        <v>299</v>
      </c>
      <c r="E731" s="459" t="s">
        <v>299</v>
      </c>
      <c r="F731" s="457" t="s">
        <v>2734</v>
      </c>
      <c r="G731" s="460">
        <v>-462891678.75999999</v>
      </c>
      <c r="H731" s="460">
        <v>-748334010.46000004</v>
      </c>
      <c r="I731" s="460">
        <v>285442331.69999999</v>
      </c>
      <c r="J731" s="459" t="s">
        <v>2735</v>
      </c>
      <c r="K731" s="459" t="s">
        <v>778</v>
      </c>
      <c r="L731" s="459" t="s">
        <v>164</v>
      </c>
    </row>
    <row r="732" spans="1:12" x14ac:dyDescent="0.2">
      <c r="A732" s="456" t="s">
        <v>794</v>
      </c>
      <c r="B732" s="456" t="s">
        <v>2736</v>
      </c>
      <c r="C732" s="456" t="s">
        <v>780</v>
      </c>
      <c r="D732" s="456" t="s">
        <v>780</v>
      </c>
      <c r="E732" s="456" t="s">
        <v>2737</v>
      </c>
      <c r="F732" s="457" t="s">
        <v>2738</v>
      </c>
      <c r="G732" s="458">
        <v>-154031790.56</v>
      </c>
      <c r="H732" s="458">
        <v>-170000000</v>
      </c>
      <c r="I732" s="458">
        <v>15968209.439999999</v>
      </c>
      <c r="J732" s="456" t="s">
        <v>2739</v>
      </c>
      <c r="K732" s="456" t="s">
        <v>778</v>
      </c>
      <c r="L732" s="456" t="s">
        <v>164</v>
      </c>
    </row>
    <row r="733" spans="1:12" x14ac:dyDescent="0.2">
      <c r="A733" s="459" t="s">
        <v>848</v>
      </c>
      <c r="B733" s="459" t="s">
        <v>2736</v>
      </c>
      <c r="C733" s="459" t="s">
        <v>299</v>
      </c>
      <c r="D733" s="459" t="s">
        <v>299</v>
      </c>
      <c r="E733" s="459" t="s">
        <v>299</v>
      </c>
      <c r="F733" s="457" t="s">
        <v>2740</v>
      </c>
      <c r="G733" s="460">
        <v>-154031790.56</v>
      </c>
      <c r="H733" s="460">
        <v>-170000000</v>
      </c>
      <c r="I733" s="460">
        <v>15968209.439999999</v>
      </c>
      <c r="J733" s="459" t="s">
        <v>2739</v>
      </c>
      <c r="K733" s="459" t="s">
        <v>778</v>
      </c>
      <c r="L733" s="459" t="s">
        <v>164</v>
      </c>
    </row>
    <row r="734" spans="1:12" x14ac:dyDescent="0.2">
      <c r="A734" s="459" t="s">
        <v>1162</v>
      </c>
      <c r="B734" s="459" t="s">
        <v>2741</v>
      </c>
      <c r="C734" s="459" t="s">
        <v>299</v>
      </c>
      <c r="D734" s="459" t="s">
        <v>299</v>
      </c>
      <c r="E734" s="459" t="s">
        <v>299</v>
      </c>
      <c r="F734" s="457" t="s">
        <v>2742</v>
      </c>
      <c r="G734" s="460">
        <v>-154031790.56</v>
      </c>
      <c r="H734" s="460">
        <v>-170000000</v>
      </c>
      <c r="I734" s="460">
        <v>15968209.439999999</v>
      </c>
      <c r="J734" s="459" t="s">
        <v>2739</v>
      </c>
      <c r="K734" s="459" t="s">
        <v>778</v>
      </c>
      <c r="L734" s="459" t="s">
        <v>164</v>
      </c>
    </row>
    <row r="735" spans="1:12" x14ac:dyDescent="0.2">
      <c r="A735" s="459" t="s">
        <v>2001</v>
      </c>
      <c r="B735" s="459" t="s">
        <v>2743</v>
      </c>
      <c r="C735" s="459" t="s">
        <v>299</v>
      </c>
      <c r="D735" s="459" t="s">
        <v>299</v>
      </c>
      <c r="E735" s="459" t="s">
        <v>299</v>
      </c>
      <c r="F735" s="457" t="s">
        <v>2744</v>
      </c>
      <c r="G735" s="460">
        <v>-154031790.56</v>
      </c>
      <c r="H735" s="460">
        <v>-170000000</v>
      </c>
      <c r="I735" s="460">
        <v>15968209.439999999</v>
      </c>
      <c r="J735" s="459" t="s">
        <v>2739</v>
      </c>
      <c r="K735" s="459" t="s">
        <v>778</v>
      </c>
      <c r="L735" s="459" t="s">
        <v>164</v>
      </c>
    </row>
    <row r="736" spans="1:12" x14ac:dyDescent="0.2">
      <c r="A736" s="456" t="s">
        <v>848</v>
      </c>
      <c r="B736" s="456" t="s">
        <v>2745</v>
      </c>
      <c r="C736" s="456" t="s">
        <v>779</v>
      </c>
      <c r="D736" s="456" t="s">
        <v>1220</v>
      </c>
      <c r="E736" s="456" t="s">
        <v>2746</v>
      </c>
      <c r="F736" s="457" t="s">
        <v>2747</v>
      </c>
      <c r="G736" s="461">
        <v>0</v>
      </c>
      <c r="H736" s="458">
        <v>-13835041.35</v>
      </c>
      <c r="I736" s="458">
        <v>13835041.35</v>
      </c>
      <c r="J736" s="456" t="s">
        <v>810</v>
      </c>
      <c r="K736" s="456" t="s">
        <v>778</v>
      </c>
      <c r="L736" s="456" t="s">
        <v>164</v>
      </c>
    </row>
    <row r="737" spans="1:12" x14ac:dyDescent="0.2">
      <c r="A737" s="459" t="s">
        <v>1162</v>
      </c>
      <c r="B737" s="459" t="s">
        <v>2745</v>
      </c>
      <c r="C737" s="459" t="s">
        <v>299</v>
      </c>
      <c r="D737" s="459" t="s">
        <v>299</v>
      </c>
      <c r="E737" s="459" t="s">
        <v>299</v>
      </c>
      <c r="F737" s="457" t="s">
        <v>2748</v>
      </c>
      <c r="G737" s="462">
        <v>0</v>
      </c>
      <c r="H737" s="460">
        <v>-13835041.35</v>
      </c>
      <c r="I737" s="460">
        <v>13835041.35</v>
      </c>
      <c r="J737" s="459" t="s">
        <v>810</v>
      </c>
      <c r="K737" s="459" t="s">
        <v>778</v>
      </c>
      <c r="L737" s="459" t="s">
        <v>164</v>
      </c>
    </row>
    <row r="738" spans="1:12" x14ac:dyDescent="0.2">
      <c r="A738" s="459" t="s">
        <v>2001</v>
      </c>
      <c r="B738" s="459" t="s">
        <v>2749</v>
      </c>
      <c r="C738" s="459" t="s">
        <v>299</v>
      </c>
      <c r="D738" s="459" t="s">
        <v>299</v>
      </c>
      <c r="E738" s="459" t="s">
        <v>299</v>
      </c>
      <c r="F738" s="457" t="s">
        <v>2750</v>
      </c>
      <c r="G738" s="462">
        <v>0</v>
      </c>
      <c r="H738" s="460">
        <v>-13835041.35</v>
      </c>
      <c r="I738" s="460">
        <v>13835041.35</v>
      </c>
      <c r="J738" s="459" t="s">
        <v>810</v>
      </c>
      <c r="K738" s="459" t="s">
        <v>778</v>
      </c>
      <c r="L738" s="459" t="s">
        <v>164</v>
      </c>
    </row>
    <row r="739" spans="1:12" x14ac:dyDescent="0.2">
      <c r="A739" s="456" t="s">
        <v>848</v>
      </c>
      <c r="B739" s="456" t="s">
        <v>2751</v>
      </c>
      <c r="C739" s="456" t="s">
        <v>779</v>
      </c>
      <c r="D739" s="456" t="s">
        <v>780</v>
      </c>
      <c r="E739" s="456" t="s">
        <v>2752</v>
      </c>
      <c r="F739" s="457" t="s">
        <v>2753</v>
      </c>
      <c r="G739" s="458">
        <v>-211650402.62</v>
      </c>
      <c r="H739" s="458">
        <v>-38012921.649999999</v>
      </c>
      <c r="I739" s="458">
        <v>-173637480.97</v>
      </c>
      <c r="J739" s="456" t="s">
        <v>2754</v>
      </c>
      <c r="K739" s="456" t="s">
        <v>778</v>
      </c>
      <c r="L739" s="456" t="s">
        <v>164</v>
      </c>
    </row>
    <row r="740" spans="1:12" x14ac:dyDescent="0.2">
      <c r="A740" s="456" t="s">
        <v>848</v>
      </c>
      <c r="B740" s="456" t="s">
        <v>2751</v>
      </c>
      <c r="C740" s="456" t="s">
        <v>779</v>
      </c>
      <c r="D740" s="456" t="s">
        <v>1220</v>
      </c>
      <c r="E740" s="456" t="s">
        <v>2755</v>
      </c>
      <c r="F740" s="457" t="s">
        <v>2756</v>
      </c>
      <c r="G740" s="458">
        <v>3702235.57</v>
      </c>
      <c r="H740" s="458">
        <v>-241551510.03</v>
      </c>
      <c r="I740" s="458">
        <v>245253745.59999999</v>
      </c>
      <c r="J740" s="456" t="s">
        <v>2757</v>
      </c>
      <c r="K740" s="456" t="s">
        <v>778</v>
      </c>
      <c r="L740" s="456" t="s">
        <v>164</v>
      </c>
    </row>
    <row r="741" spans="1:12" x14ac:dyDescent="0.2">
      <c r="A741" s="456" t="s">
        <v>848</v>
      </c>
      <c r="B741" s="456" t="s">
        <v>2751</v>
      </c>
      <c r="C741" s="456" t="s">
        <v>779</v>
      </c>
      <c r="D741" s="456" t="s">
        <v>1220</v>
      </c>
      <c r="E741" s="456" t="s">
        <v>2758</v>
      </c>
      <c r="F741" s="457" t="s">
        <v>2759</v>
      </c>
      <c r="G741" s="461">
        <v>0</v>
      </c>
      <c r="H741" s="458">
        <v>-54861.9</v>
      </c>
      <c r="I741" s="458">
        <v>54861.9</v>
      </c>
      <c r="J741" s="456" t="s">
        <v>810</v>
      </c>
      <c r="K741" s="456" t="s">
        <v>778</v>
      </c>
      <c r="L741" s="456" t="s">
        <v>164</v>
      </c>
    </row>
    <row r="742" spans="1:12" x14ac:dyDescent="0.2">
      <c r="A742" s="456" t="s">
        <v>848</v>
      </c>
      <c r="B742" s="456" t="s">
        <v>2751</v>
      </c>
      <c r="C742" s="456" t="s">
        <v>779</v>
      </c>
      <c r="D742" s="456" t="s">
        <v>1220</v>
      </c>
      <c r="E742" s="456" t="s">
        <v>2760</v>
      </c>
      <c r="F742" s="457" t="s">
        <v>2761</v>
      </c>
      <c r="G742" s="458">
        <v>56966665</v>
      </c>
      <c r="H742" s="458">
        <v>67968890.959999993</v>
      </c>
      <c r="I742" s="458">
        <v>-11002225.960000001</v>
      </c>
      <c r="J742" s="456" t="s">
        <v>2762</v>
      </c>
      <c r="K742" s="456" t="s">
        <v>778</v>
      </c>
      <c r="L742" s="456" t="s">
        <v>164</v>
      </c>
    </row>
    <row r="743" spans="1:12" x14ac:dyDescent="0.2">
      <c r="A743" s="456" t="s">
        <v>848</v>
      </c>
      <c r="B743" s="456" t="s">
        <v>2751</v>
      </c>
      <c r="C743" s="456" t="s">
        <v>779</v>
      </c>
      <c r="D743" s="456" t="s">
        <v>1220</v>
      </c>
      <c r="E743" s="456" t="s">
        <v>2763</v>
      </c>
      <c r="F743" s="457" t="s">
        <v>2764</v>
      </c>
      <c r="G743" s="458">
        <v>-109037.17</v>
      </c>
      <c r="H743" s="458">
        <v>-75941.89</v>
      </c>
      <c r="I743" s="458">
        <v>-33095.279999999999</v>
      </c>
      <c r="J743" s="456" t="s">
        <v>2765</v>
      </c>
      <c r="K743" s="456" t="s">
        <v>778</v>
      </c>
      <c r="L743" s="456" t="s">
        <v>164</v>
      </c>
    </row>
    <row r="744" spans="1:12" x14ac:dyDescent="0.2">
      <c r="A744" s="459" t="s">
        <v>1162</v>
      </c>
      <c r="B744" s="459" t="s">
        <v>2751</v>
      </c>
      <c r="C744" s="459" t="s">
        <v>299</v>
      </c>
      <c r="D744" s="459" t="s">
        <v>299</v>
      </c>
      <c r="E744" s="459" t="s">
        <v>299</v>
      </c>
      <c r="F744" s="457" t="s">
        <v>2766</v>
      </c>
      <c r="G744" s="460">
        <v>-151090539.22</v>
      </c>
      <c r="H744" s="460">
        <v>-211726344.50999999</v>
      </c>
      <c r="I744" s="460">
        <v>60635805.289999999</v>
      </c>
      <c r="J744" s="459" t="s">
        <v>2767</v>
      </c>
      <c r="K744" s="459" t="s">
        <v>778</v>
      </c>
      <c r="L744" s="459" t="s">
        <v>164</v>
      </c>
    </row>
    <row r="745" spans="1:12" x14ac:dyDescent="0.2">
      <c r="A745" s="459" t="s">
        <v>2001</v>
      </c>
      <c r="B745" s="459" t="s">
        <v>2768</v>
      </c>
      <c r="C745" s="459" t="s">
        <v>299</v>
      </c>
      <c r="D745" s="459" t="s">
        <v>299</v>
      </c>
      <c r="E745" s="459" t="s">
        <v>299</v>
      </c>
      <c r="F745" s="457" t="s">
        <v>2769</v>
      </c>
      <c r="G745" s="460">
        <v>-151090539.22</v>
      </c>
      <c r="H745" s="460">
        <v>-211726344.50999999</v>
      </c>
      <c r="I745" s="460">
        <v>60635805.289999999</v>
      </c>
      <c r="J745" s="459" t="s">
        <v>2767</v>
      </c>
      <c r="K745" s="459" t="s">
        <v>778</v>
      </c>
      <c r="L745" s="459" t="s">
        <v>164</v>
      </c>
    </row>
    <row r="746" spans="1:12" x14ac:dyDescent="0.2">
      <c r="A746" s="456" t="s">
        <v>848</v>
      </c>
      <c r="B746" s="456" t="s">
        <v>2770</v>
      </c>
      <c r="C746" s="456" t="s">
        <v>779</v>
      </c>
      <c r="D746" s="456" t="s">
        <v>780</v>
      </c>
      <c r="E746" s="456" t="s">
        <v>2771</v>
      </c>
      <c r="F746" s="457" t="s">
        <v>2772</v>
      </c>
      <c r="G746" s="458">
        <v>-11494581.68</v>
      </c>
      <c r="H746" s="458">
        <v>-10293115.949999999</v>
      </c>
      <c r="I746" s="458">
        <v>-1201465.73</v>
      </c>
      <c r="J746" s="456" t="s">
        <v>2773</v>
      </c>
      <c r="K746" s="456" t="s">
        <v>778</v>
      </c>
      <c r="L746" s="456" t="s">
        <v>164</v>
      </c>
    </row>
    <row r="747" spans="1:12" x14ac:dyDescent="0.2">
      <c r="A747" s="456" t="s">
        <v>848</v>
      </c>
      <c r="B747" s="456" t="s">
        <v>2770</v>
      </c>
      <c r="C747" s="456" t="s">
        <v>779</v>
      </c>
      <c r="D747" s="456" t="s">
        <v>780</v>
      </c>
      <c r="E747" s="456" t="s">
        <v>2774</v>
      </c>
      <c r="F747" s="457" t="s">
        <v>2775</v>
      </c>
      <c r="G747" s="458">
        <v>256300</v>
      </c>
      <c r="H747" s="458">
        <v>-1201465.73</v>
      </c>
      <c r="I747" s="458">
        <v>1457765.73</v>
      </c>
      <c r="J747" s="456" t="s">
        <v>2776</v>
      </c>
      <c r="K747" s="456" t="s">
        <v>778</v>
      </c>
      <c r="L747" s="456" t="s">
        <v>164</v>
      </c>
    </row>
    <row r="748" spans="1:12" x14ac:dyDescent="0.2">
      <c r="A748" s="456" t="s">
        <v>848</v>
      </c>
      <c r="B748" s="456" t="s">
        <v>2770</v>
      </c>
      <c r="C748" s="456" t="s">
        <v>779</v>
      </c>
      <c r="D748" s="456" t="s">
        <v>1220</v>
      </c>
      <c r="E748" s="456" t="s">
        <v>2777</v>
      </c>
      <c r="F748" s="457" t="s">
        <v>2778</v>
      </c>
      <c r="G748" s="458">
        <v>286982.02</v>
      </c>
      <c r="H748" s="461">
        <v>0</v>
      </c>
      <c r="I748" s="458">
        <v>286982.02</v>
      </c>
      <c r="J748" s="456" t="s">
        <v>299</v>
      </c>
      <c r="K748" s="456" t="s">
        <v>778</v>
      </c>
      <c r="L748" s="456" t="s">
        <v>164</v>
      </c>
    </row>
    <row r="749" spans="1:12" x14ac:dyDescent="0.2">
      <c r="A749" s="456" t="s">
        <v>848</v>
      </c>
      <c r="B749" s="456" t="s">
        <v>2770</v>
      </c>
      <c r="C749" s="456" t="s">
        <v>779</v>
      </c>
      <c r="D749" s="456" t="s">
        <v>780</v>
      </c>
      <c r="E749" s="456" t="s">
        <v>2779</v>
      </c>
      <c r="F749" s="457" t="s">
        <v>2780</v>
      </c>
      <c r="G749" s="458">
        <v>-1026000</v>
      </c>
      <c r="H749" s="458">
        <v>-1025992.28</v>
      </c>
      <c r="I749" s="461">
        <v>-7.72</v>
      </c>
      <c r="J749" s="456" t="s">
        <v>1484</v>
      </c>
      <c r="K749" s="456" t="s">
        <v>778</v>
      </c>
      <c r="L749" s="456" t="s">
        <v>164</v>
      </c>
    </row>
    <row r="750" spans="1:12" x14ac:dyDescent="0.2">
      <c r="A750" s="456" t="s">
        <v>848</v>
      </c>
      <c r="B750" s="456" t="s">
        <v>2770</v>
      </c>
      <c r="C750" s="456" t="s">
        <v>779</v>
      </c>
      <c r="D750" s="456" t="s">
        <v>780</v>
      </c>
      <c r="E750" s="456" t="s">
        <v>2781</v>
      </c>
      <c r="F750" s="457" t="s">
        <v>2782</v>
      </c>
      <c r="G750" s="458">
        <v>-962733.99</v>
      </c>
      <c r="H750" s="458">
        <v>-58150.1</v>
      </c>
      <c r="I750" s="458">
        <v>-904583.89</v>
      </c>
      <c r="J750" s="456" t="s">
        <v>2783</v>
      </c>
      <c r="K750" s="456" t="s">
        <v>778</v>
      </c>
      <c r="L750" s="456" t="s">
        <v>164</v>
      </c>
    </row>
    <row r="751" spans="1:12" x14ac:dyDescent="0.2">
      <c r="A751" s="456" t="s">
        <v>848</v>
      </c>
      <c r="B751" s="456" t="s">
        <v>2770</v>
      </c>
      <c r="C751" s="456" t="s">
        <v>779</v>
      </c>
      <c r="D751" s="456" t="s">
        <v>1220</v>
      </c>
      <c r="E751" s="456" t="s">
        <v>2784</v>
      </c>
      <c r="F751" s="457" t="s">
        <v>2785</v>
      </c>
      <c r="G751" s="458">
        <v>906252.19</v>
      </c>
      <c r="H751" s="461">
        <v>0</v>
      </c>
      <c r="I751" s="458">
        <v>906252.19</v>
      </c>
      <c r="J751" s="456" t="s">
        <v>299</v>
      </c>
      <c r="K751" s="456" t="s">
        <v>778</v>
      </c>
      <c r="L751" s="456" t="s">
        <v>164</v>
      </c>
    </row>
    <row r="752" spans="1:12" x14ac:dyDescent="0.2">
      <c r="A752" s="456" t="s">
        <v>848</v>
      </c>
      <c r="B752" s="456" t="s">
        <v>2770</v>
      </c>
      <c r="C752" s="456" t="s">
        <v>779</v>
      </c>
      <c r="D752" s="456" t="s">
        <v>780</v>
      </c>
      <c r="E752" s="456" t="s">
        <v>2786</v>
      </c>
      <c r="F752" s="457" t="s">
        <v>2787</v>
      </c>
      <c r="G752" s="458">
        <v>56481.8</v>
      </c>
      <c r="H752" s="458">
        <v>58142.38</v>
      </c>
      <c r="I752" s="458">
        <v>-1660.58</v>
      </c>
      <c r="J752" s="456" t="s">
        <v>2788</v>
      </c>
      <c r="K752" s="456" t="s">
        <v>778</v>
      </c>
      <c r="L752" s="456" t="s">
        <v>164</v>
      </c>
    </row>
    <row r="753" spans="1:12" x14ac:dyDescent="0.2">
      <c r="A753" s="456" t="s">
        <v>848</v>
      </c>
      <c r="B753" s="456" t="s">
        <v>2770</v>
      </c>
      <c r="C753" s="456" t="s">
        <v>779</v>
      </c>
      <c r="D753" s="456" t="s">
        <v>780</v>
      </c>
      <c r="E753" s="456" t="s">
        <v>2789</v>
      </c>
      <c r="F753" s="457" t="s">
        <v>2790</v>
      </c>
      <c r="G753" s="458">
        <v>-508991.16</v>
      </c>
      <c r="H753" s="458">
        <v>-2780927.2</v>
      </c>
      <c r="I753" s="458">
        <v>2271936.04</v>
      </c>
      <c r="J753" s="456" t="s">
        <v>2791</v>
      </c>
      <c r="K753" s="456" t="s">
        <v>778</v>
      </c>
      <c r="L753" s="456" t="s">
        <v>164</v>
      </c>
    </row>
    <row r="754" spans="1:12" x14ac:dyDescent="0.2">
      <c r="A754" s="456" t="s">
        <v>848</v>
      </c>
      <c r="B754" s="456" t="s">
        <v>2770</v>
      </c>
      <c r="C754" s="456" t="s">
        <v>779</v>
      </c>
      <c r="D754" s="456" t="s">
        <v>1220</v>
      </c>
      <c r="E754" s="456" t="s">
        <v>2792</v>
      </c>
      <c r="F754" s="457" t="s">
        <v>2793</v>
      </c>
      <c r="G754" s="461">
        <v>0</v>
      </c>
      <c r="H754" s="458">
        <v>-234000</v>
      </c>
      <c r="I754" s="458">
        <v>234000</v>
      </c>
      <c r="J754" s="456" t="s">
        <v>810</v>
      </c>
      <c r="K754" s="456" t="s">
        <v>778</v>
      </c>
      <c r="L754" s="456" t="s">
        <v>164</v>
      </c>
    </row>
    <row r="755" spans="1:12" x14ac:dyDescent="0.2">
      <c r="A755" s="456" t="s">
        <v>848</v>
      </c>
      <c r="B755" s="456" t="s">
        <v>2770</v>
      </c>
      <c r="C755" s="456" t="s">
        <v>779</v>
      </c>
      <c r="D755" s="456" t="s">
        <v>1220</v>
      </c>
      <c r="E755" s="456" t="s">
        <v>2794</v>
      </c>
      <c r="F755" s="457" t="s">
        <v>2795</v>
      </c>
      <c r="G755" s="458">
        <v>-1598053</v>
      </c>
      <c r="H755" s="461">
        <v>0</v>
      </c>
      <c r="I755" s="458">
        <v>-1598053</v>
      </c>
      <c r="J755" s="456" t="s">
        <v>299</v>
      </c>
      <c r="K755" s="456" t="s">
        <v>778</v>
      </c>
      <c r="L755" s="456" t="s">
        <v>164</v>
      </c>
    </row>
    <row r="756" spans="1:12" x14ac:dyDescent="0.2">
      <c r="A756" s="456" t="s">
        <v>848</v>
      </c>
      <c r="B756" s="456" t="s">
        <v>2770</v>
      </c>
      <c r="C756" s="456" t="s">
        <v>779</v>
      </c>
      <c r="D756" s="456" t="s">
        <v>780</v>
      </c>
      <c r="E756" s="456" t="s">
        <v>2796</v>
      </c>
      <c r="F756" s="457" t="s">
        <v>2797</v>
      </c>
      <c r="G756" s="458">
        <v>1454636.24</v>
      </c>
      <c r="H756" s="458">
        <v>2505936.04</v>
      </c>
      <c r="I756" s="458">
        <v>-1051299.8</v>
      </c>
      <c r="J756" s="456" t="s">
        <v>2798</v>
      </c>
      <c r="K756" s="456" t="s">
        <v>778</v>
      </c>
      <c r="L756" s="456" t="s">
        <v>164</v>
      </c>
    </row>
    <row r="757" spans="1:12" x14ac:dyDescent="0.2">
      <c r="A757" s="456" t="s">
        <v>848</v>
      </c>
      <c r="B757" s="456" t="s">
        <v>2770</v>
      </c>
      <c r="C757" s="456" t="s">
        <v>779</v>
      </c>
      <c r="D757" s="456" t="s">
        <v>780</v>
      </c>
      <c r="E757" s="456" t="s">
        <v>2799</v>
      </c>
      <c r="F757" s="457" t="s">
        <v>2800</v>
      </c>
      <c r="G757" s="458">
        <v>-991128.18</v>
      </c>
      <c r="H757" s="458">
        <v>-3073198.62</v>
      </c>
      <c r="I757" s="458">
        <v>2082070.44</v>
      </c>
      <c r="J757" s="456" t="s">
        <v>2801</v>
      </c>
      <c r="K757" s="456" t="s">
        <v>778</v>
      </c>
      <c r="L757" s="456" t="s">
        <v>164</v>
      </c>
    </row>
    <row r="758" spans="1:12" x14ac:dyDescent="0.2">
      <c r="A758" s="456" t="s">
        <v>848</v>
      </c>
      <c r="B758" s="456" t="s">
        <v>2770</v>
      </c>
      <c r="C758" s="456" t="s">
        <v>779</v>
      </c>
      <c r="D758" s="456" t="s">
        <v>1220</v>
      </c>
      <c r="E758" s="456" t="s">
        <v>2802</v>
      </c>
      <c r="F758" s="457" t="s">
        <v>2803</v>
      </c>
      <c r="G758" s="461">
        <v>0</v>
      </c>
      <c r="H758" s="458">
        <v>-550000</v>
      </c>
      <c r="I758" s="458">
        <v>550000</v>
      </c>
      <c r="J758" s="456" t="s">
        <v>810</v>
      </c>
      <c r="K758" s="456" t="s">
        <v>778</v>
      </c>
      <c r="L758" s="456" t="s">
        <v>164</v>
      </c>
    </row>
    <row r="759" spans="1:12" x14ac:dyDescent="0.2">
      <c r="A759" s="456" t="s">
        <v>848</v>
      </c>
      <c r="B759" s="456" t="s">
        <v>2770</v>
      </c>
      <c r="C759" s="456" t="s">
        <v>779</v>
      </c>
      <c r="D759" s="456" t="s">
        <v>1220</v>
      </c>
      <c r="E759" s="456" t="s">
        <v>2804</v>
      </c>
      <c r="F759" s="457" t="s">
        <v>2805</v>
      </c>
      <c r="G759" s="461">
        <v>0</v>
      </c>
      <c r="H759" s="458">
        <v>368007</v>
      </c>
      <c r="I759" s="458">
        <v>-368007</v>
      </c>
      <c r="J759" s="456" t="s">
        <v>826</v>
      </c>
      <c r="K759" s="456" t="s">
        <v>778</v>
      </c>
      <c r="L759" s="456" t="s">
        <v>164</v>
      </c>
    </row>
    <row r="760" spans="1:12" x14ac:dyDescent="0.2">
      <c r="A760" s="456" t="s">
        <v>848</v>
      </c>
      <c r="B760" s="456" t="s">
        <v>2770</v>
      </c>
      <c r="C760" s="456" t="s">
        <v>779</v>
      </c>
      <c r="D760" s="456" t="s">
        <v>1220</v>
      </c>
      <c r="E760" s="456" t="s">
        <v>2806</v>
      </c>
      <c r="F760" s="457" t="s">
        <v>2807</v>
      </c>
      <c r="G760" s="461">
        <v>0</v>
      </c>
      <c r="H760" s="458">
        <v>17596.509999999998</v>
      </c>
      <c r="I760" s="458">
        <v>-17596.509999999998</v>
      </c>
      <c r="J760" s="456" t="s">
        <v>826</v>
      </c>
      <c r="K760" s="456" t="s">
        <v>778</v>
      </c>
      <c r="L760" s="456" t="s">
        <v>164</v>
      </c>
    </row>
    <row r="761" spans="1:12" x14ac:dyDescent="0.2">
      <c r="A761" s="456" t="s">
        <v>848</v>
      </c>
      <c r="B761" s="456" t="s">
        <v>2770</v>
      </c>
      <c r="C761" s="456" t="s">
        <v>779</v>
      </c>
      <c r="D761" s="456" t="s">
        <v>780</v>
      </c>
      <c r="E761" s="456" t="s">
        <v>2808</v>
      </c>
      <c r="F761" s="457" t="s">
        <v>2809</v>
      </c>
      <c r="G761" s="458">
        <v>49587.93</v>
      </c>
      <c r="H761" s="458">
        <v>2246466.9300000002</v>
      </c>
      <c r="I761" s="458">
        <v>-2196879</v>
      </c>
      <c r="J761" s="456" t="s">
        <v>2810</v>
      </c>
      <c r="K761" s="456" t="s">
        <v>778</v>
      </c>
      <c r="L761" s="456" t="s">
        <v>164</v>
      </c>
    </row>
    <row r="762" spans="1:12" x14ac:dyDescent="0.2">
      <c r="A762" s="456" t="s">
        <v>848</v>
      </c>
      <c r="B762" s="456" t="s">
        <v>2770</v>
      </c>
      <c r="C762" s="456" t="s">
        <v>779</v>
      </c>
      <c r="D762" s="456" t="s">
        <v>780</v>
      </c>
      <c r="E762" s="456" t="s">
        <v>2811</v>
      </c>
      <c r="F762" s="457" t="s">
        <v>2812</v>
      </c>
      <c r="G762" s="458">
        <v>-4233222.09</v>
      </c>
      <c r="H762" s="458">
        <v>-3325179.37</v>
      </c>
      <c r="I762" s="458">
        <v>-908042.72</v>
      </c>
      <c r="J762" s="456" t="s">
        <v>2813</v>
      </c>
      <c r="K762" s="456" t="s">
        <v>778</v>
      </c>
      <c r="L762" s="456" t="s">
        <v>164</v>
      </c>
    </row>
    <row r="763" spans="1:12" x14ac:dyDescent="0.2">
      <c r="A763" s="456" t="s">
        <v>848</v>
      </c>
      <c r="B763" s="456" t="s">
        <v>2770</v>
      </c>
      <c r="C763" s="456" t="s">
        <v>779</v>
      </c>
      <c r="D763" s="456" t="s">
        <v>780</v>
      </c>
      <c r="E763" s="456" t="s">
        <v>2814</v>
      </c>
      <c r="F763" s="457" t="s">
        <v>2815</v>
      </c>
      <c r="G763" s="461">
        <v>0</v>
      </c>
      <c r="H763" s="458">
        <v>-4525731</v>
      </c>
      <c r="I763" s="458">
        <v>4525731</v>
      </c>
      <c r="J763" s="456" t="s">
        <v>810</v>
      </c>
      <c r="K763" s="456" t="s">
        <v>778</v>
      </c>
      <c r="L763" s="456" t="s">
        <v>164</v>
      </c>
    </row>
    <row r="764" spans="1:12" x14ac:dyDescent="0.2">
      <c r="A764" s="456" t="s">
        <v>848</v>
      </c>
      <c r="B764" s="456" t="s">
        <v>2770</v>
      </c>
      <c r="C764" s="456" t="s">
        <v>779</v>
      </c>
      <c r="D764" s="456" t="s">
        <v>1220</v>
      </c>
      <c r="E764" s="456" t="s">
        <v>2816</v>
      </c>
      <c r="F764" s="457" t="s">
        <v>2817</v>
      </c>
      <c r="G764" s="458">
        <v>2325731</v>
      </c>
      <c r="H764" s="458">
        <v>300000</v>
      </c>
      <c r="I764" s="458">
        <v>2025731</v>
      </c>
      <c r="J764" s="456" t="s">
        <v>2818</v>
      </c>
      <c r="K764" s="456" t="s">
        <v>778</v>
      </c>
      <c r="L764" s="456" t="s">
        <v>164</v>
      </c>
    </row>
    <row r="765" spans="1:12" x14ac:dyDescent="0.2">
      <c r="A765" s="456" t="s">
        <v>848</v>
      </c>
      <c r="B765" s="456" t="s">
        <v>2770</v>
      </c>
      <c r="C765" s="456" t="s">
        <v>779</v>
      </c>
      <c r="D765" s="456" t="s">
        <v>780</v>
      </c>
      <c r="E765" s="456" t="s">
        <v>2819</v>
      </c>
      <c r="F765" s="457" t="s">
        <v>2820</v>
      </c>
      <c r="G765" s="458">
        <v>196333.28</v>
      </c>
      <c r="H765" s="458">
        <v>3317688.28</v>
      </c>
      <c r="I765" s="458">
        <v>-3121355</v>
      </c>
      <c r="J765" s="456" t="s">
        <v>2821</v>
      </c>
      <c r="K765" s="456" t="s">
        <v>778</v>
      </c>
      <c r="L765" s="456" t="s">
        <v>164</v>
      </c>
    </row>
    <row r="766" spans="1:12" x14ac:dyDescent="0.2">
      <c r="A766" s="456" t="s">
        <v>848</v>
      </c>
      <c r="B766" s="456" t="s">
        <v>2770</v>
      </c>
      <c r="C766" s="456" t="s">
        <v>779</v>
      </c>
      <c r="D766" s="456" t="s">
        <v>780</v>
      </c>
      <c r="E766" s="456" t="s">
        <v>2822</v>
      </c>
      <c r="F766" s="457" t="s">
        <v>2823</v>
      </c>
      <c r="G766" s="458">
        <v>-13932718.359999999</v>
      </c>
      <c r="H766" s="461">
        <v>0</v>
      </c>
      <c r="I766" s="458">
        <v>-13932718.359999999</v>
      </c>
      <c r="J766" s="456" t="s">
        <v>299</v>
      </c>
      <c r="K766" s="456" t="s">
        <v>778</v>
      </c>
      <c r="L766" s="456" t="s">
        <v>164</v>
      </c>
    </row>
    <row r="767" spans="1:12" x14ac:dyDescent="0.2">
      <c r="A767" s="456" t="s">
        <v>848</v>
      </c>
      <c r="B767" s="456" t="s">
        <v>2770</v>
      </c>
      <c r="C767" s="456" t="s">
        <v>779</v>
      </c>
      <c r="D767" s="456" t="s">
        <v>780</v>
      </c>
      <c r="E767" s="456" t="s">
        <v>2824</v>
      </c>
      <c r="F767" s="457" t="s">
        <v>2825</v>
      </c>
      <c r="G767" s="458">
        <v>-764151</v>
      </c>
      <c r="H767" s="458">
        <v>-14206960</v>
      </c>
      <c r="I767" s="458">
        <v>13442809</v>
      </c>
      <c r="J767" s="456" t="s">
        <v>2826</v>
      </c>
      <c r="K767" s="456" t="s">
        <v>778</v>
      </c>
      <c r="L767" s="456" t="s">
        <v>164</v>
      </c>
    </row>
    <row r="768" spans="1:12" x14ac:dyDescent="0.2">
      <c r="A768" s="456" t="s">
        <v>848</v>
      </c>
      <c r="B768" s="456" t="s">
        <v>2770</v>
      </c>
      <c r="C768" s="456" t="s">
        <v>779</v>
      </c>
      <c r="D768" s="456" t="s">
        <v>1220</v>
      </c>
      <c r="E768" s="456" t="s">
        <v>2827</v>
      </c>
      <c r="F768" s="457" t="s">
        <v>2828</v>
      </c>
      <c r="G768" s="458">
        <v>13425</v>
      </c>
      <c r="H768" s="461">
        <v>0</v>
      </c>
      <c r="I768" s="458">
        <v>13425</v>
      </c>
      <c r="J768" s="456" t="s">
        <v>299</v>
      </c>
      <c r="K768" s="456" t="s">
        <v>778</v>
      </c>
      <c r="L768" s="456" t="s">
        <v>164</v>
      </c>
    </row>
    <row r="769" spans="1:12" x14ac:dyDescent="0.2">
      <c r="A769" s="456" t="s">
        <v>848</v>
      </c>
      <c r="B769" s="456" t="s">
        <v>2770</v>
      </c>
      <c r="C769" s="456" t="s">
        <v>779</v>
      </c>
      <c r="D769" s="456" t="s">
        <v>780</v>
      </c>
      <c r="E769" s="456" t="s">
        <v>2829</v>
      </c>
      <c r="F769" s="457" t="s">
        <v>2830</v>
      </c>
      <c r="G769" s="458">
        <v>7546851.3399999999</v>
      </c>
      <c r="H769" s="458">
        <v>274241.64</v>
      </c>
      <c r="I769" s="458">
        <v>7272609.7000000002</v>
      </c>
      <c r="J769" s="456" t="s">
        <v>2831</v>
      </c>
      <c r="K769" s="456" t="s">
        <v>778</v>
      </c>
      <c r="L769" s="456" t="s">
        <v>164</v>
      </c>
    </row>
    <row r="770" spans="1:12" x14ac:dyDescent="0.2">
      <c r="A770" s="456" t="s">
        <v>848</v>
      </c>
      <c r="B770" s="456" t="s">
        <v>2770</v>
      </c>
      <c r="C770" s="456" t="s">
        <v>779</v>
      </c>
      <c r="D770" s="456" t="s">
        <v>780</v>
      </c>
      <c r="E770" s="456" t="s">
        <v>2832</v>
      </c>
      <c r="F770" s="457" t="s">
        <v>2833</v>
      </c>
      <c r="G770" s="458">
        <v>-15533458.449999999</v>
      </c>
      <c r="H770" s="458">
        <v>-10669815.369999999</v>
      </c>
      <c r="I770" s="458">
        <v>-4863643.08</v>
      </c>
      <c r="J770" s="456" t="s">
        <v>2834</v>
      </c>
      <c r="K770" s="456" t="s">
        <v>778</v>
      </c>
      <c r="L770" s="456" t="s">
        <v>164</v>
      </c>
    </row>
    <row r="771" spans="1:12" x14ac:dyDescent="0.2">
      <c r="A771" s="456" t="s">
        <v>848</v>
      </c>
      <c r="B771" s="456" t="s">
        <v>2770</v>
      </c>
      <c r="C771" s="456" t="s">
        <v>779</v>
      </c>
      <c r="D771" s="456" t="s">
        <v>780</v>
      </c>
      <c r="E771" s="456" t="s">
        <v>2835</v>
      </c>
      <c r="F771" s="457" t="s">
        <v>2836</v>
      </c>
      <c r="G771" s="461">
        <v>0</v>
      </c>
      <c r="H771" s="458">
        <v>-2988700</v>
      </c>
      <c r="I771" s="458">
        <v>2988700</v>
      </c>
      <c r="J771" s="456" t="s">
        <v>810</v>
      </c>
      <c r="K771" s="456" t="s">
        <v>778</v>
      </c>
      <c r="L771" s="456" t="s">
        <v>164</v>
      </c>
    </row>
    <row r="772" spans="1:12" x14ac:dyDescent="0.2">
      <c r="A772" s="456" t="s">
        <v>848</v>
      </c>
      <c r="B772" s="456" t="s">
        <v>2770</v>
      </c>
      <c r="C772" s="456" t="s">
        <v>779</v>
      </c>
      <c r="D772" s="456" t="s">
        <v>780</v>
      </c>
      <c r="E772" s="456" t="s">
        <v>2837</v>
      </c>
      <c r="F772" s="457" t="s">
        <v>2838</v>
      </c>
      <c r="G772" s="458">
        <v>507374</v>
      </c>
      <c r="H772" s="458">
        <v>587028</v>
      </c>
      <c r="I772" s="458">
        <v>-79654</v>
      </c>
      <c r="J772" s="456" t="s">
        <v>2839</v>
      </c>
      <c r="K772" s="456" t="s">
        <v>778</v>
      </c>
      <c r="L772" s="456" t="s">
        <v>164</v>
      </c>
    </row>
    <row r="773" spans="1:12" x14ac:dyDescent="0.2">
      <c r="A773" s="456" t="s">
        <v>848</v>
      </c>
      <c r="B773" s="456" t="s">
        <v>2770</v>
      </c>
      <c r="C773" s="456" t="s">
        <v>779</v>
      </c>
      <c r="D773" s="456" t="s">
        <v>1220</v>
      </c>
      <c r="E773" s="456" t="s">
        <v>2840</v>
      </c>
      <c r="F773" s="457" t="s">
        <v>2841</v>
      </c>
      <c r="G773" s="458">
        <v>9338248</v>
      </c>
      <c r="H773" s="458">
        <v>-8099001</v>
      </c>
      <c r="I773" s="458">
        <v>17437249</v>
      </c>
      <c r="J773" s="456" t="s">
        <v>2842</v>
      </c>
      <c r="K773" s="456" t="s">
        <v>778</v>
      </c>
      <c r="L773" s="456" t="s">
        <v>164</v>
      </c>
    </row>
    <row r="774" spans="1:12" x14ac:dyDescent="0.2">
      <c r="A774" s="456" t="s">
        <v>848</v>
      </c>
      <c r="B774" s="456" t="s">
        <v>2770</v>
      </c>
      <c r="C774" s="456" t="s">
        <v>779</v>
      </c>
      <c r="D774" s="456" t="s">
        <v>780</v>
      </c>
      <c r="E774" s="456" t="s">
        <v>2843</v>
      </c>
      <c r="F774" s="457" t="s">
        <v>2844</v>
      </c>
      <c r="G774" s="458">
        <v>2903557.4</v>
      </c>
      <c r="H774" s="458">
        <v>5637029.9199999999</v>
      </c>
      <c r="I774" s="458">
        <v>-2733472.52</v>
      </c>
      <c r="J774" s="456" t="s">
        <v>2845</v>
      </c>
      <c r="K774" s="456" t="s">
        <v>778</v>
      </c>
      <c r="L774" s="456" t="s">
        <v>164</v>
      </c>
    </row>
    <row r="775" spans="1:12" x14ac:dyDescent="0.2">
      <c r="A775" s="459" t="s">
        <v>1162</v>
      </c>
      <c r="B775" s="459" t="s">
        <v>2770</v>
      </c>
      <c r="C775" s="459" t="s">
        <v>299</v>
      </c>
      <c r="D775" s="459" t="s">
        <v>299</v>
      </c>
      <c r="E775" s="459" t="s">
        <v>299</v>
      </c>
      <c r="F775" s="457" t="s">
        <v>2846</v>
      </c>
      <c r="G775" s="460">
        <v>-25203277.710000001</v>
      </c>
      <c r="H775" s="460">
        <v>-47720099.920000002</v>
      </c>
      <c r="I775" s="460">
        <v>22516822.210000001</v>
      </c>
      <c r="J775" s="459" t="s">
        <v>1936</v>
      </c>
      <c r="K775" s="459" t="s">
        <v>778</v>
      </c>
      <c r="L775" s="459" t="s">
        <v>164</v>
      </c>
    </row>
    <row r="776" spans="1:12" x14ac:dyDescent="0.2">
      <c r="A776" s="459" t="s">
        <v>2001</v>
      </c>
      <c r="B776" s="459" t="s">
        <v>2847</v>
      </c>
      <c r="C776" s="459" t="s">
        <v>299</v>
      </c>
      <c r="D776" s="459" t="s">
        <v>299</v>
      </c>
      <c r="E776" s="459" t="s">
        <v>299</v>
      </c>
      <c r="F776" s="457" t="s">
        <v>2848</v>
      </c>
      <c r="G776" s="460">
        <v>-25203277.710000001</v>
      </c>
      <c r="H776" s="460">
        <v>-47720099.920000002</v>
      </c>
      <c r="I776" s="460">
        <v>22516822.210000001</v>
      </c>
      <c r="J776" s="459" t="s">
        <v>1936</v>
      </c>
      <c r="K776" s="459" t="s">
        <v>778</v>
      </c>
      <c r="L776" s="459" t="s">
        <v>164</v>
      </c>
    </row>
    <row r="777" spans="1:12" x14ac:dyDescent="0.2">
      <c r="A777" s="459" t="s">
        <v>2027</v>
      </c>
      <c r="B777" s="459" t="s">
        <v>2849</v>
      </c>
      <c r="C777" s="459" t="s">
        <v>299</v>
      </c>
      <c r="D777" s="459" t="s">
        <v>299</v>
      </c>
      <c r="E777" s="459" t="s">
        <v>299</v>
      </c>
      <c r="F777" s="457" t="s">
        <v>2850</v>
      </c>
      <c r="G777" s="460">
        <v>-793217286.25</v>
      </c>
      <c r="H777" s="460">
        <v>-1191615496.24</v>
      </c>
      <c r="I777" s="460">
        <v>398398209.99000001</v>
      </c>
      <c r="J777" s="459" t="s">
        <v>2851</v>
      </c>
      <c r="K777" s="459" t="s">
        <v>778</v>
      </c>
      <c r="L777" s="459" t="s">
        <v>164</v>
      </c>
    </row>
    <row r="778" spans="1:12" x14ac:dyDescent="0.2">
      <c r="A778" s="456" t="s">
        <v>794</v>
      </c>
      <c r="B778" s="456" t="s">
        <v>2852</v>
      </c>
      <c r="C778" s="456" t="s">
        <v>780</v>
      </c>
      <c r="D778" s="456" t="s">
        <v>1220</v>
      </c>
      <c r="E778" s="456" t="s">
        <v>2853</v>
      </c>
      <c r="F778" s="457" t="s">
        <v>2854</v>
      </c>
      <c r="G778" s="458">
        <v>-25483433.399999999</v>
      </c>
      <c r="H778" s="461">
        <v>0</v>
      </c>
      <c r="I778" s="458">
        <v>-25483433.399999999</v>
      </c>
      <c r="J778" s="456" t="s">
        <v>299</v>
      </c>
      <c r="K778" s="456" t="s">
        <v>778</v>
      </c>
      <c r="L778" s="456" t="s">
        <v>164</v>
      </c>
    </row>
    <row r="779" spans="1:12" x14ac:dyDescent="0.2">
      <c r="A779" s="456" t="s">
        <v>794</v>
      </c>
      <c r="B779" s="456" t="s">
        <v>2852</v>
      </c>
      <c r="C779" s="456" t="s">
        <v>779</v>
      </c>
      <c r="D779" s="456" t="s">
        <v>1220</v>
      </c>
      <c r="E779" s="456" t="s">
        <v>2855</v>
      </c>
      <c r="F779" s="457" t="s">
        <v>2856</v>
      </c>
      <c r="G779" s="458">
        <v>-368471533.74000001</v>
      </c>
      <c r="H779" s="461">
        <v>0</v>
      </c>
      <c r="I779" s="458">
        <v>-368471533.74000001</v>
      </c>
      <c r="J779" s="456" t="s">
        <v>299</v>
      </c>
      <c r="K779" s="456" t="s">
        <v>778</v>
      </c>
      <c r="L779" s="456" t="s">
        <v>164</v>
      </c>
    </row>
    <row r="780" spans="1:12" x14ac:dyDescent="0.2">
      <c r="A780" s="459" t="s">
        <v>848</v>
      </c>
      <c r="B780" s="459" t="s">
        <v>2852</v>
      </c>
      <c r="C780" s="459" t="s">
        <v>299</v>
      </c>
      <c r="D780" s="459" t="s">
        <v>299</v>
      </c>
      <c r="E780" s="459" t="s">
        <v>299</v>
      </c>
      <c r="F780" s="457" t="s">
        <v>2857</v>
      </c>
      <c r="G780" s="460">
        <v>-393954967.13999999</v>
      </c>
      <c r="H780" s="462">
        <v>0</v>
      </c>
      <c r="I780" s="460">
        <v>-393954967.13999999</v>
      </c>
      <c r="J780" s="459" t="s">
        <v>299</v>
      </c>
      <c r="K780" s="459" t="s">
        <v>778</v>
      </c>
      <c r="L780" s="459" t="s">
        <v>164</v>
      </c>
    </row>
    <row r="781" spans="1:12" x14ac:dyDescent="0.2">
      <c r="A781" s="459" t="s">
        <v>1162</v>
      </c>
      <c r="B781" s="459" t="s">
        <v>2858</v>
      </c>
      <c r="C781" s="459" t="s">
        <v>299</v>
      </c>
      <c r="D781" s="459" t="s">
        <v>299</v>
      </c>
      <c r="E781" s="459" t="s">
        <v>299</v>
      </c>
      <c r="F781" s="457" t="s">
        <v>2859</v>
      </c>
      <c r="G781" s="460">
        <v>-393954967.13999999</v>
      </c>
      <c r="H781" s="462">
        <v>0</v>
      </c>
      <c r="I781" s="460">
        <v>-393954967.13999999</v>
      </c>
      <c r="J781" s="459" t="s">
        <v>299</v>
      </c>
      <c r="K781" s="459" t="s">
        <v>778</v>
      </c>
      <c r="L781" s="459" t="s">
        <v>164</v>
      </c>
    </row>
    <row r="782" spans="1:12" x14ac:dyDescent="0.2">
      <c r="A782" s="456" t="s">
        <v>848</v>
      </c>
      <c r="B782" s="456" t="s">
        <v>2860</v>
      </c>
      <c r="C782" s="456" t="s">
        <v>779</v>
      </c>
      <c r="D782" s="456" t="s">
        <v>1021</v>
      </c>
      <c r="E782" s="456" t="s">
        <v>2861</v>
      </c>
      <c r="F782" s="457" t="s">
        <v>2862</v>
      </c>
      <c r="G782" s="458">
        <v>-38969092</v>
      </c>
      <c r="H782" s="461">
        <v>0</v>
      </c>
      <c r="I782" s="458">
        <v>-38969092</v>
      </c>
      <c r="J782" s="456" t="s">
        <v>299</v>
      </c>
      <c r="K782" s="456" t="s">
        <v>778</v>
      </c>
      <c r="L782" s="456" t="s">
        <v>164</v>
      </c>
    </row>
    <row r="783" spans="1:12" x14ac:dyDescent="0.2">
      <c r="A783" s="459" t="s">
        <v>1162</v>
      </c>
      <c r="B783" s="459" t="s">
        <v>2860</v>
      </c>
      <c r="C783" s="459" t="s">
        <v>299</v>
      </c>
      <c r="D783" s="459" t="s">
        <v>299</v>
      </c>
      <c r="E783" s="459" t="s">
        <v>299</v>
      </c>
      <c r="F783" s="457" t="s">
        <v>2863</v>
      </c>
      <c r="G783" s="460">
        <v>-38969092</v>
      </c>
      <c r="H783" s="462">
        <v>0</v>
      </c>
      <c r="I783" s="460">
        <v>-38969092</v>
      </c>
      <c r="J783" s="459" t="s">
        <v>299</v>
      </c>
      <c r="K783" s="459" t="s">
        <v>778</v>
      </c>
      <c r="L783" s="459" t="s">
        <v>164</v>
      </c>
    </row>
    <row r="784" spans="1:12" x14ac:dyDescent="0.2">
      <c r="A784" s="459" t="s">
        <v>2001</v>
      </c>
      <c r="B784" s="459" t="s">
        <v>2864</v>
      </c>
      <c r="C784" s="459" t="s">
        <v>299</v>
      </c>
      <c r="D784" s="459" t="s">
        <v>299</v>
      </c>
      <c r="E784" s="459" t="s">
        <v>299</v>
      </c>
      <c r="F784" s="457" t="s">
        <v>2865</v>
      </c>
      <c r="G784" s="460">
        <v>-432924059.13999999</v>
      </c>
      <c r="H784" s="462">
        <v>0</v>
      </c>
      <c r="I784" s="460">
        <v>-432924059.13999999</v>
      </c>
      <c r="J784" s="459" t="s">
        <v>299</v>
      </c>
      <c r="K784" s="459" t="s">
        <v>778</v>
      </c>
      <c r="L784" s="459" t="s">
        <v>164</v>
      </c>
    </row>
    <row r="785" spans="1:12" x14ac:dyDescent="0.2">
      <c r="A785" s="456" t="s">
        <v>794</v>
      </c>
      <c r="B785" s="456" t="s">
        <v>2866</v>
      </c>
      <c r="C785" s="456" t="s">
        <v>2867</v>
      </c>
      <c r="D785" s="456" t="s">
        <v>1021</v>
      </c>
      <c r="E785" s="456" t="s">
        <v>2868</v>
      </c>
      <c r="F785" s="457" t="s">
        <v>2869</v>
      </c>
      <c r="G785" s="458">
        <v>-213154061.06</v>
      </c>
      <c r="H785" s="458">
        <v>-333388866.06</v>
      </c>
      <c r="I785" s="458">
        <v>120234805</v>
      </c>
      <c r="J785" s="456" t="s">
        <v>2540</v>
      </c>
      <c r="K785" s="456" t="s">
        <v>778</v>
      </c>
      <c r="L785" s="456" t="s">
        <v>164</v>
      </c>
    </row>
    <row r="786" spans="1:12" x14ac:dyDescent="0.2">
      <c r="A786" s="459" t="s">
        <v>848</v>
      </c>
      <c r="B786" s="459" t="s">
        <v>2866</v>
      </c>
      <c r="C786" s="459" t="s">
        <v>299</v>
      </c>
      <c r="D786" s="459" t="s">
        <v>299</v>
      </c>
      <c r="E786" s="459" t="s">
        <v>299</v>
      </c>
      <c r="F786" s="457" t="s">
        <v>2870</v>
      </c>
      <c r="G786" s="460">
        <v>-213154061.06</v>
      </c>
      <c r="H786" s="460">
        <v>-333388866.06</v>
      </c>
      <c r="I786" s="460">
        <v>120234805</v>
      </c>
      <c r="J786" s="459" t="s">
        <v>2540</v>
      </c>
      <c r="K786" s="459" t="s">
        <v>778</v>
      </c>
      <c r="L786" s="459" t="s">
        <v>164</v>
      </c>
    </row>
    <row r="787" spans="1:12" x14ac:dyDescent="0.2">
      <c r="A787" s="459" t="s">
        <v>1162</v>
      </c>
      <c r="B787" s="459" t="s">
        <v>2871</v>
      </c>
      <c r="C787" s="459" t="s">
        <v>299</v>
      </c>
      <c r="D787" s="459" t="s">
        <v>299</v>
      </c>
      <c r="E787" s="459" t="s">
        <v>299</v>
      </c>
      <c r="F787" s="457" t="s">
        <v>2872</v>
      </c>
      <c r="G787" s="460">
        <v>-213154061.06</v>
      </c>
      <c r="H787" s="460">
        <v>-333388866.06</v>
      </c>
      <c r="I787" s="460">
        <v>120234805</v>
      </c>
      <c r="J787" s="459" t="s">
        <v>2540</v>
      </c>
      <c r="K787" s="459" t="s">
        <v>778</v>
      </c>
      <c r="L787" s="459" t="s">
        <v>164</v>
      </c>
    </row>
    <row r="788" spans="1:12" x14ac:dyDescent="0.2">
      <c r="A788" s="459" t="s">
        <v>2001</v>
      </c>
      <c r="B788" s="459" t="s">
        <v>2873</v>
      </c>
      <c r="C788" s="459" t="s">
        <v>299</v>
      </c>
      <c r="D788" s="459" t="s">
        <v>299</v>
      </c>
      <c r="E788" s="459" t="s">
        <v>299</v>
      </c>
      <c r="F788" s="457" t="s">
        <v>2874</v>
      </c>
      <c r="G788" s="460">
        <v>-213154061.06</v>
      </c>
      <c r="H788" s="460">
        <v>-333388866.06</v>
      </c>
      <c r="I788" s="460">
        <v>120234805</v>
      </c>
      <c r="J788" s="459" t="s">
        <v>2540</v>
      </c>
      <c r="K788" s="459" t="s">
        <v>778</v>
      </c>
      <c r="L788" s="459" t="s">
        <v>164</v>
      </c>
    </row>
    <row r="789" spans="1:12" x14ac:dyDescent="0.2">
      <c r="A789" s="456" t="s">
        <v>848</v>
      </c>
      <c r="B789" s="456" t="s">
        <v>2875</v>
      </c>
      <c r="C789" s="456" t="s">
        <v>780</v>
      </c>
      <c r="D789" s="456" t="s">
        <v>780</v>
      </c>
      <c r="E789" s="456" t="s">
        <v>2876</v>
      </c>
      <c r="F789" s="457" t="s">
        <v>2877</v>
      </c>
      <c r="G789" s="458">
        <v>4298614.6100000003</v>
      </c>
      <c r="H789" s="458">
        <v>-46782072.509999998</v>
      </c>
      <c r="I789" s="458">
        <v>51080687.119999997</v>
      </c>
      <c r="J789" s="456" t="s">
        <v>2878</v>
      </c>
      <c r="K789" s="456" t="s">
        <v>778</v>
      </c>
      <c r="L789" s="456" t="s">
        <v>164</v>
      </c>
    </row>
    <row r="790" spans="1:12" x14ac:dyDescent="0.2">
      <c r="A790" s="456" t="s">
        <v>848</v>
      </c>
      <c r="B790" s="456" t="s">
        <v>2875</v>
      </c>
      <c r="C790" s="456" t="s">
        <v>780</v>
      </c>
      <c r="D790" s="456" t="s">
        <v>780</v>
      </c>
      <c r="E790" s="456" t="s">
        <v>2879</v>
      </c>
      <c r="F790" s="457" t="s">
        <v>2880</v>
      </c>
      <c r="G790" s="458">
        <v>812744.71</v>
      </c>
      <c r="H790" s="458">
        <v>14842491.32</v>
      </c>
      <c r="I790" s="458">
        <v>-14029746.609999999</v>
      </c>
      <c r="J790" s="456" t="s">
        <v>2881</v>
      </c>
      <c r="K790" s="456" t="s">
        <v>778</v>
      </c>
      <c r="L790" s="456" t="s">
        <v>164</v>
      </c>
    </row>
    <row r="791" spans="1:12" x14ac:dyDescent="0.2">
      <c r="A791" s="456" t="s">
        <v>848</v>
      </c>
      <c r="B791" s="456" t="s">
        <v>2875</v>
      </c>
      <c r="C791" s="456" t="s">
        <v>779</v>
      </c>
      <c r="D791" s="456" t="s">
        <v>801</v>
      </c>
      <c r="E791" s="456" t="s">
        <v>2882</v>
      </c>
      <c r="F791" s="457" t="s">
        <v>2883</v>
      </c>
      <c r="G791" s="458">
        <v>-5111359.32</v>
      </c>
      <c r="H791" s="458">
        <v>-5111359.32</v>
      </c>
      <c r="I791" s="461">
        <v>0</v>
      </c>
      <c r="J791" s="456" t="s">
        <v>1484</v>
      </c>
      <c r="K791" s="456" t="s">
        <v>778</v>
      </c>
      <c r="L791" s="456" t="s">
        <v>164</v>
      </c>
    </row>
    <row r="792" spans="1:12" x14ac:dyDescent="0.2">
      <c r="A792" s="459" t="s">
        <v>1162</v>
      </c>
      <c r="B792" s="459" t="s">
        <v>2875</v>
      </c>
      <c r="C792" s="459" t="s">
        <v>299</v>
      </c>
      <c r="D792" s="459" t="s">
        <v>299</v>
      </c>
      <c r="E792" s="459" t="s">
        <v>299</v>
      </c>
      <c r="F792" s="457" t="s">
        <v>2884</v>
      </c>
      <c r="G792" s="462">
        <v>0</v>
      </c>
      <c r="H792" s="460">
        <v>-37050940.509999998</v>
      </c>
      <c r="I792" s="460">
        <v>37050940.509999998</v>
      </c>
      <c r="J792" s="459" t="s">
        <v>810</v>
      </c>
      <c r="K792" s="459" t="s">
        <v>778</v>
      </c>
      <c r="L792" s="459" t="s">
        <v>164</v>
      </c>
    </row>
    <row r="793" spans="1:12" x14ac:dyDescent="0.2">
      <c r="A793" s="459" t="s">
        <v>2001</v>
      </c>
      <c r="B793" s="459" t="s">
        <v>2885</v>
      </c>
      <c r="C793" s="459" t="s">
        <v>299</v>
      </c>
      <c r="D793" s="459" t="s">
        <v>299</v>
      </c>
      <c r="E793" s="459" t="s">
        <v>299</v>
      </c>
      <c r="F793" s="457" t="s">
        <v>2886</v>
      </c>
      <c r="G793" s="462">
        <v>0</v>
      </c>
      <c r="H793" s="460">
        <v>-37050940.509999998</v>
      </c>
      <c r="I793" s="460">
        <v>37050940.509999998</v>
      </c>
      <c r="J793" s="459" t="s">
        <v>810</v>
      </c>
      <c r="K793" s="459" t="s">
        <v>778</v>
      </c>
      <c r="L793" s="459" t="s">
        <v>164</v>
      </c>
    </row>
    <row r="794" spans="1:12" x14ac:dyDescent="0.2">
      <c r="A794" s="456" t="s">
        <v>848</v>
      </c>
      <c r="B794" s="456" t="s">
        <v>2887</v>
      </c>
      <c r="C794" s="456" t="s">
        <v>779</v>
      </c>
      <c r="D794" s="456" t="s">
        <v>1220</v>
      </c>
      <c r="E794" s="456" t="s">
        <v>2888</v>
      </c>
      <c r="F794" s="457" t="s">
        <v>2889</v>
      </c>
      <c r="G794" s="458">
        <v>-10941176</v>
      </c>
      <c r="H794" s="458">
        <v>-2441176</v>
      </c>
      <c r="I794" s="458">
        <v>-8500000</v>
      </c>
      <c r="J794" s="456" t="s">
        <v>2890</v>
      </c>
      <c r="K794" s="456" t="s">
        <v>778</v>
      </c>
      <c r="L794" s="456" t="s">
        <v>164</v>
      </c>
    </row>
    <row r="795" spans="1:12" x14ac:dyDescent="0.2">
      <c r="A795" s="459" t="s">
        <v>1162</v>
      </c>
      <c r="B795" s="459" t="s">
        <v>2887</v>
      </c>
      <c r="C795" s="459" t="s">
        <v>299</v>
      </c>
      <c r="D795" s="459" t="s">
        <v>299</v>
      </c>
      <c r="E795" s="459" t="s">
        <v>299</v>
      </c>
      <c r="F795" s="457" t="s">
        <v>2891</v>
      </c>
      <c r="G795" s="460">
        <v>-10941176</v>
      </c>
      <c r="H795" s="460">
        <v>-2441176</v>
      </c>
      <c r="I795" s="460">
        <v>-8500000</v>
      </c>
      <c r="J795" s="459" t="s">
        <v>2890</v>
      </c>
      <c r="K795" s="459" t="s">
        <v>778</v>
      </c>
      <c r="L795" s="459" t="s">
        <v>164</v>
      </c>
    </row>
    <row r="796" spans="1:12" x14ac:dyDescent="0.2">
      <c r="A796" s="459" t="s">
        <v>2001</v>
      </c>
      <c r="B796" s="459" t="s">
        <v>2892</v>
      </c>
      <c r="C796" s="459" t="s">
        <v>299</v>
      </c>
      <c r="D796" s="459" t="s">
        <v>299</v>
      </c>
      <c r="E796" s="459" t="s">
        <v>299</v>
      </c>
      <c r="F796" s="457" t="s">
        <v>2893</v>
      </c>
      <c r="G796" s="460">
        <v>-10941176</v>
      </c>
      <c r="H796" s="460">
        <v>-2441176</v>
      </c>
      <c r="I796" s="460">
        <v>-8500000</v>
      </c>
      <c r="J796" s="459" t="s">
        <v>2890</v>
      </c>
      <c r="K796" s="459" t="s">
        <v>778</v>
      </c>
      <c r="L796" s="459" t="s">
        <v>164</v>
      </c>
    </row>
    <row r="797" spans="1:12" x14ac:dyDescent="0.2">
      <c r="A797" s="456" t="s">
        <v>1162</v>
      </c>
      <c r="B797" s="456" t="s">
        <v>2894</v>
      </c>
      <c r="C797" s="456" t="s">
        <v>779</v>
      </c>
      <c r="D797" s="456" t="s">
        <v>780</v>
      </c>
      <c r="E797" s="456" t="s">
        <v>2895</v>
      </c>
      <c r="F797" s="457" t="s">
        <v>2896</v>
      </c>
      <c r="G797" s="458">
        <v>-11863143.18</v>
      </c>
      <c r="H797" s="458">
        <v>-10178258.68</v>
      </c>
      <c r="I797" s="458">
        <v>-1684884.5</v>
      </c>
      <c r="J797" s="456" t="s">
        <v>2271</v>
      </c>
      <c r="K797" s="456" t="s">
        <v>778</v>
      </c>
      <c r="L797" s="456" t="s">
        <v>164</v>
      </c>
    </row>
    <row r="798" spans="1:12" x14ac:dyDescent="0.2">
      <c r="A798" s="456" t="s">
        <v>1162</v>
      </c>
      <c r="B798" s="456" t="s">
        <v>2894</v>
      </c>
      <c r="C798" s="456" t="s">
        <v>779</v>
      </c>
      <c r="D798" s="456" t="s">
        <v>1220</v>
      </c>
      <c r="E798" s="456" t="s">
        <v>2897</v>
      </c>
      <c r="F798" s="457" t="s">
        <v>2898</v>
      </c>
      <c r="G798" s="458">
        <v>-990816.9</v>
      </c>
      <c r="H798" s="458">
        <v>-1684884.5</v>
      </c>
      <c r="I798" s="458">
        <v>694067.6</v>
      </c>
      <c r="J798" s="456" t="s">
        <v>2899</v>
      </c>
      <c r="K798" s="456" t="s">
        <v>778</v>
      </c>
      <c r="L798" s="456" t="s">
        <v>164</v>
      </c>
    </row>
    <row r="799" spans="1:12" x14ac:dyDescent="0.2">
      <c r="A799" s="456" t="s">
        <v>1162</v>
      </c>
      <c r="B799" s="456" t="s">
        <v>2894</v>
      </c>
      <c r="C799" s="456" t="s">
        <v>779</v>
      </c>
      <c r="D799" s="456" t="s">
        <v>1220</v>
      </c>
      <c r="E799" s="456" t="s">
        <v>2900</v>
      </c>
      <c r="F799" s="457" t="s">
        <v>2901</v>
      </c>
      <c r="G799" s="458">
        <v>72778.39</v>
      </c>
      <c r="H799" s="461">
        <v>0</v>
      </c>
      <c r="I799" s="458">
        <v>72778.39</v>
      </c>
      <c r="J799" s="456" t="s">
        <v>299</v>
      </c>
      <c r="K799" s="456" t="s">
        <v>778</v>
      </c>
      <c r="L799" s="456" t="s">
        <v>164</v>
      </c>
    </row>
    <row r="800" spans="1:12" x14ac:dyDescent="0.2">
      <c r="A800" s="456" t="s">
        <v>1162</v>
      </c>
      <c r="B800" s="456" t="s">
        <v>2894</v>
      </c>
      <c r="C800" s="456" t="s">
        <v>779</v>
      </c>
      <c r="D800" s="456" t="s">
        <v>1220</v>
      </c>
      <c r="E800" s="456" t="s">
        <v>2902</v>
      </c>
      <c r="F800" s="457" t="s">
        <v>2903</v>
      </c>
      <c r="G800" s="458">
        <v>-1797707.23</v>
      </c>
      <c r="H800" s="458">
        <v>-1771793.23</v>
      </c>
      <c r="I800" s="458">
        <v>-25914</v>
      </c>
      <c r="J800" s="456" t="s">
        <v>2412</v>
      </c>
      <c r="K800" s="456" t="s">
        <v>778</v>
      </c>
      <c r="L800" s="456" t="s">
        <v>164</v>
      </c>
    </row>
    <row r="801" spans="1:12" x14ac:dyDescent="0.2">
      <c r="A801" s="456" t="s">
        <v>1162</v>
      </c>
      <c r="B801" s="456" t="s">
        <v>2894</v>
      </c>
      <c r="C801" s="456" t="s">
        <v>779</v>
      </c>
      <c r="D801" s="456" t="s">
        <v>1220</v>
      </c>
      <c r="E801" s="456" t="s">
        <v>2904</v>
      </c>
      <c r="F801" s="457" t="s">
        <v>2905</v>
      </c>
      <c r="G801" s="458">
        <v>1598053</v>
      </c>
      <c r="H801" s="461">
        <v>0</v>
      </c>
      <c r="I801" s="458">
        <v>1598053</v>
      </c>
      <c r="J801" s="456" t="s">
        <v>299</v>
      </c>
      <c r="K801" s="456" t="s">
        <v>778</v>
      </c>
      <c r="L801" s="456" t="s">
        <v>164</v>
      </c>
    </row>
    <row r="802" spans="1:12" x14ac:dyDescent="0.2">
      <c r="A802" s="456" t="s">
        <v>1162</v>
      </c>
      <c r="B802" s="456" t="s">
        <v>2894</v>
      </c>
      <c r="C802" s="456" t="s">
        <v>779</v>
      </c>
      <c r="D802" s="456" t="s">
        <v>1220</v>
      </c>
      <c r="E802" s="456" t="s">
        <v>2906</v>
      </c>
      <c r="F802" s="457" t="s">
        <v>2907</v>
      </c>
      <c r="G802" s="458">
        <v>-93110</v>
      </c>
      <c r="H802" s="458">
        <v>-25914</v>
      </c>
      <c r="I802" s="458">
        <v>-67196</v>
      </c>
      <c r="J802" s="456" t="s">
        <v>2908</v>
      </c>
      <c r="K802" s="456" t="s">
        <v>778</v>
      </c>
      <c r="L802" s="456" t="s">
        <v>164</v>
      </c>
    </row>
    <row r="803" spans="1:12" x14ac:dyDescent="0.2">
      <c r="A803" s="456" t="s">
        <v>1162</v>
      </c>
      <c r="B803" s="456" t="s">
        <v>2894</v>
      </c>
      <c r="C803" s="456" t="s">
        <v>779</v>
      </c>
      <c r="D803" s="456" t="s">
        <v>780</v>
      </c>
      <c r="E803" s="456" t="s">
        <v>2909</v>
      </c>
      <c r="F803" s="457" t="s">
        <v>2910</v>
      </c>
      <c r="G803" s="458">
        <v>-8320025.1200000001</v>
      </c>
      <c r="H803" s="458">
        <v>-8458175.1199999992</v>
      </c>
      <c r="I803" s="458">
        <v>138150</v>
      </c>
      <c r="J803" s="456" t="s">
        <v>1593</v>
      </c>
      <c r="K803" s="456" t="s">
        <v>778</v>
      </c>
      <c r="L803" s="456" t="s">
        <v>164</v>
      </c>
    </row>
    <row r="804" spans="1:12" x14ac:dyDescent="0.2">
      <c r="A804" s="456" t="s">
        <v>1162</v>
      </c>
      <c r="B804" s="456" t="s">
        <v>2894</v>
      </c>
      <c r="C804" s="456" t="s">
        <v>779</v>
      </c>
      <c r="D804" s="456" t="s">
        <v>1220</v>
      </c>
      <c r="E804" s="456" t="s">
        <v>2911</v>
      </c>
      <c r="F804" s="457" t="s">
        <v>2912</v>
      </c>
      <c r="G804" s="458">
        <v>-2325731</v>
      </c>
      <c r="H804" s="461">
        <v>0</v>
      </c>
      <c r="I804" s="458">
        <v>-2325731</v>
      </c>
      <c r="J804" s="456" t="s">
        <v>299</v>
      </c>
      <c r="K804" s="456" t="s">
        <v>778</v>
      </c>
      <c r="L804" s="456" t="s">
        <v>164</v>
      </c>
    </row>
    <row r="805" spans="1:12" x14ac:dyDescent="0.2">
      <c r="A805" s="456" t="s">
        <v>1162</v>
      </c>
      <c r="B805" s="456" t="s">
        <v>2894</v>
      </c>
      <c r="C805" s="456" t="s">
        <v>779</v>
      </c>
      <c r="D805" s="456" t="s">
        <v>1220</v>
      </c>
      <c r="E805" s="456" t="s">
        <v>2913</v>
      </c>
      <c r="F805" s="457" t="s">
        <v>2914</v>
      </c>
      <c r="G805" s="458">
        <v>-316787</v>
      </c>
      <c r="H805" s="458">
        <v>138150</v>
      </c>
      <c r="I805" s="458">
        <v>-454937</v>
      </c>
      <c r="J805" s="456" t="s">
        <v>2915</v>
      </c>
      <c r="K805" s="456" t="s">
        <v>778</v>
      </c>
      <c r="L805" s="456" t="s">
        <v>164</v>
      </c>
    </row>
    <row r="806" spans="1:12" x14ac:dyDescent="0.2">
      <c r="A806" s="456" t="s">
        <v>1162</v>
      </c>
      <c r="B806" s="456" t="s">
        <v>2894</v>
      </c>
      <c r="C806" s="456" t="s">
        <v>779</v>
      </c>
      <c r="D806" s="456" t="s">
        <v>1220</v>
      </c>
      <c r="E806" s="456" t="s">
        <v>2916</v>
      </c>
      <c r="F806" s="457" t="s">
        <v>2917</v>
      </c>
      <c r="G806" s="458">
        <v>-6660766</v>
      </c>
      <c r="H806" s="461">
        <v>0</v>
      </c>
      <c r="I806" s="458">
        <v>-6660766</v>
      </c>
      <c r="J806" s="456" t="s">
        <v>299</v>
      </c>
      <c r="K806" s="456" t="s">
        <v>778</v>
      </c>
      <c r="L806" s="456" t="s">
        <v>164</v>
      </c>
    </row>
    <row r="807" spans="1:12" x14ac:dyDescent="0.2">
      <c r="A807" s="456" t="s">
        <v>1162</v>
      </c>
      <c r="B807" s="456" t="s">
        <v>2894</v>
      </c>
      <c r="C807" s="456" t="s">
        <v>779</v>
      </c>
      <c r="D807" s="456" t="s">
        <v>1220</v>
      </c>
      <c r="E807" s="456" t="s">
        <v>2918</v>
      </c>
      <c r="F807" s="457" t="s">
        <v>2919</v>
      </c>
      <c r="G807" s="461">
        <v>0</v>
      </c>
      <c r="H807" s="458">
        <v>-6660766</v>
      </c>
      <c r="I807" s="458">
        <v>6660766</v>
      </c>
      <c r="J807" s="456" t="s">
        <v>810</v>
      </c>
      <c r="K807" s="456" t="s">
        <v>778</v>
      </c>
      <c r="L807" s="456" t="s">
        <v>164</v>
      </c>
    </row>
    <row r="808" spans="1:12" x14ac:dyDescent="0.2">
      <c r="A808" s="456" t="s">
        <v>1162</v>
      </c>
      <c r="B808" s="456" t="s">
        <v>2894</v>
      </c>
      <c r="C808" s="456" t="s">
        <v>779</v>
      </c>
      <c r="D808" s="456" t="s">
        <v>1220</v>
      </c>
      <c r="E808" s="456" t="s">
        <v>2920</v>
      </c>
      <c r="F808" s="457" t="s">
        <v>2921</v>
      </c>
      <c r="G808" s="458">
        <v>-287593</v>
      </c>
      <c r="H808" s="461">
        <v>0</v>
      </c>
      <c r="I808" s="458">
        <v>-287593</v>
      </c>
      <c r="J808" s="456" t="s">
        <v>299</v>
      </c>
      <c r="K808" s="456" t="s">
        <v>778</v>
      </c>
      <c r="L808" s="456" t="s">
        <v>164</v>
      </c>
    </row>
    <row r="809" spans="1:12" x14ac:dyDescent="0.2">
      <c r="A809" s="456" t="s">
        <v>1162</v>
      </c>
      <c r="B809" s="456" t="s">
        <v>2894</v>
      </c>
      <c r="C809" s="456" t="s">
        <v>779</v>
      </c>
      <c r="D809" s="456" t="s">
        <v>780</v>
      </c>
      <c r="E809" s="456" t="s">
        <v>2922</v>
      </c>
      <c r="F809" s="457" t="s">
        <v>2923</v>
      </c>
      <c r="G809" s="458">
        <v>-22751307.629999999</v>
      </c>
      <c r="H809" s="458">
        <v>-44291950.539999999</v>
      </c>
      <c r="I809" s="458">
        <v>21540642.91</v>
      </c>
      <c r="J809" s="456" t="s">
        <v>2924</v>
      </c>
      <c r="K809" s="456" t="s">
        <v>778</v>
      </c>
      <c r="L809" s="456" t="s">
        <v>164</v>
      </c>
    </row>
    <row r="810" spans="1:12" x14ac:dyDescent="0.2">
      <c r="A810" s="456" t="s">
        <v>1162</v>
      </c>
      <c r="B810" s="456" t="s">
        <v>2894</v>
      </c>
      <c r="C810" s="456" t="s">
        <v>779</v>
      </c>
      <c r="D810" s="456" t="s">
        <v>780</v>
      </c>
      <c r="E810" s="456" t="s">
        <v>2925</v>
      </c>
      <c r="F810" s="457" t="s">
        <v>2926</v>
      </c>
      <c r="G810" s="461">
        <v>0</v>
      </c>
      <c r="H810" s="458">
        <v>-1999068</v>
      </c>
      <c r="I810" s="458">
        <v>1999068</v>
      </c>
      <c r="J810" s="456" t="s">
        <v>810</v>
      </c>
      <c r="K810" s="456" t="s">
        <v>778</v>
      </c>
      <c r="L810" s="456" t="s">
        <v>164</v>
      </c>
    </row>
    <row r="811" spans="1:12" x14ac:dyDescent="0.2">
      <c r="A811" s="456" t="s">
        <v>1162</v>
      </c>
      <c r="B811" s="456" t="s">
        <v>2894</v>
      </c>
      <c r="C811" s="456" t="s">
        <v>779</v>
      </c>
      <c r="D811" s="456" t="s">
        <v>780</v>
      </c>
      <c r="E811" s="456" t="s">
        <v>2927</v>
      </c>
      <c r="F811" s="457" t="s">
        <v>2928</v>
      </c>
      <c r="G811" s="458">
        <v>569104</v>
      </c>
      <c r="H811" s="458">
        <v>12249544.1</v>
      </c>
      <c r="I811" s="458">
        <v>-11680440.1</v>
      </c>
      <c r="J811" s="456" t="s">
        <v>2929</v>
      </c>
      <c r="K811" s="456" t="s">
        <v>778</v>
      </c>
      <c r="L811" s="456" t="s">
        <v>164</v>
      </c>
    </row>
    <row r="812" spans="1:12" x14ac:dyDescent="0.2">
      <c r="A812" s="456" t="s">
        <v>1162</v>
      </c>
      <c r="B812" s="456" t="s">
        <v>2894</v>
      </c>
      <c r="C812" s="456" t="s">
        <v>779</v>
      </c>
      <c r="D812" s="456" t="s">
        <v>1220</v>
      </c>
      <c r="E812" s="456" t="s">
        <v>2930</v>
      </c>
      <c r="F812" s="457" t="s">
        <v>2931</v>
      </c>
      <c r="G812" s="458">
        <v>-9338248</v>
      </c>
      <c r="H812" s="458">
        <v>7799001</v>
      </c>
      <c r="I812" s="458">
        <v>-17137249</v>
      </c>
      <c r="J812" s="456" t="s">
        <v>2932</v>
      </c>
      <c r="K812" s="456" t="s">
        <v>778</v>
      </c>
      <c r="L812" s="456" t="s">
        <v>164</v>
      </c>
    </row>
    <row r="813" spans="1:12" x14ac:dyDescent="0.2">
      <c r="A813" s="456" t="s">
        <v>1162</v>
      </c>
      <c r="B813" s="456" t="s">
        <v>2894</v>
      </c>
      <c r="C813" s="456" t="s">
        <v>779</v>
      </c>
      <c r="D813" s="456" t="s">
        <v>780</v>
      </c>
      <c r="E813" s="456" t="s">
        <v>2933</v>
      </c>
      <c r="F813" s="457" t="s">
        <v>2934</v>
      </c>
      <c r="G813" s="458">
        <v>510263</v>
      </c>
      <c r="H813" s="458">
        <v>3491165.81</v>
      </c>
      <c r="I813" s="458">
        <v>-2980902.81</v>
      </c>
      <c r="J813" s="456" t="s">
        <v>2935</v>
      </c>
      <c r="K813" s="456" t="s">
        <v>778</v>
      </c>
      <c r="L813" s="456" t="s">
        <v>164</v>
      </c>
    </row>
    <row r="814" spans="1:12" x14ac:dyDescent="0.2">
      <c r="A814" s="459" t="s">
        <v>2001</v>
      </c>
      <c r="B814" s="459" t="s">
        <v>2894</v>
      </c>
      <c r="C814" s="459" t="s">
        <v>299</v>
      </c>
      <c r="D814" s="459" t="s">
        <v>299</v>
      </c>
      <c r="E814" s="459" t="s">
        <v>299</v>
      </c>
      <c r="F814" s="457" t="s">
        <v>2936</v>
      </c>
      <c r="G814" s="460">
        <v>-61995036.670000002</v>
      </c>
      <c r="H814" s="460">
        <v>-51392949.159999996</v>
      </c>
      <c r="I814" s="460">
        <v>-10602087.51</v>
      </c>
      <c r="J814" s="459" t="s">
        <v>2937</v>
      </c>
      <c r="K814" s="459" t="s">
        <v>778</v>
      </c>
      <c r="L814" s="459" t="s">
        <v>164</v>
      </c>
    </row>
    <row r="815" spans="1:12" x14ac:dyDescent="0.2">
      <c r="A815" s="459" t="s">
        <v>2027</v>
      </c>
      <c r="B815" s="459" t="s">
        <v>2938</v>
      </c>
      <c r="C815" s="459" t="s">
        <v>299</v>
      </c>
      <c r="D815" s="459" t="s">
        <v>299</v>
      </c>
      <c r="E815" s="459" t="s">
        <v>299</v>
      </c>
      <c r="F815" s="457" t="s">
        <v>2939</v>
      </c>
      <c r="G815" s="460">
        <v>-719014332.87</v>
      </c>
      <c r="H815" s="460">
        <v>-424273931.73000002</v>
      </c>
      <c r="I815" s="460">
        <v>-294740401.13999999</v>
      </c>
      <c r="J815" s="459" t="s">
        <v>2940</v>
      </c>
      <c r="K815" s="459" t="s">
        <v>778</v>
      </c>
      <c r="L815" s="459" t="s">
        <v>164</v>
      </c>
    </row>
    <row r="816" spans="1:12" x14ac:dyDescent="0.2">
      <c r="A816" s="459" t="s">
        <v>2106</v>
      </c>
      <c r="B816" s="459" t="s">
        <v>2941</v>
      </c>
      <c r="C816" s="459" t="s">
        <v>299</v>
      </c>
      <c r="D816" s="459" t="s">
        <v>299</v>
      </c>
      <c r="E816" s="459" t="s">
        <v>299</v>
      </c>
      <c r="F816" s="457" t="s">
        <v>2942</v>
      </c>
      <c r="G816" s="460">
        <v>-1512231619.1199999</v>
      </c>
      <c r="H816" s="460">
        <v>-1615889427.97</v>
      </c>
      <c r="I816" s="460">
        <v>103657808.84999999</v>
      </c>
      <c r="J816" s="459" t="s">
        <v>2610</v>
      </c>
      <c r="K816" s="459" t="s">
        <v>778</v>
      </c>
      <c r="L816" s="459" t="s">
        <v>164</v>
      </c>
    </row>
    <row r="817" spans="1:12" x14ac:dyDescent="0.2">
      <c r="A817" s="459" t="s">
        <v>2110</v>
      </c>
      <c r="B817" s="459" t="s">
        <v>2943</v>
      </c>
      <c r="C817" s="459" t="s">
        <v>299</v>
      </c>
      <c r="D817" s="459" t="s">
        <v>299</v>
      </c>
      <c r="E817" s="459" t="s">
        <v>299</v>
      </c>
      <c r="F817" s="457" t="s">
        <v>2944</v>
      </c>
      <c r="G817" s="460">
        <v>3530908398.9899998</v>
      </c>
      <c r="H817" s="460">
        <v>2798677154.2800002</v>
      </c>
      <c r="I817" s="460">
        <v>732231244.71000004</v>
      </c>
      <c r="J817" s="459" t="s">
        <v>2945</v>
      </c>
      <c r="K817" s="459" t="s">
        <v>778</v>
      </c>
      <c r="L817" s="459" t="s">
        <v>164</v>
      </c>
    </row>
    <row r="818" spans="1:12" x14ac:dyDescent="0.2">
      <c r="A818" s="456" t="s">
        <v>2001</v>
      </c>
      <c r="B818" s="456" t="s">
        <v>2946</v>
      </c>
      <c r="C818" s="456" t="s">
        <v>780</v>
      </c>
      <c r="D818" s="456" t="s">
        <v>780</v>
      </c>
      <c r="E818" s="456" t="s">
        <v>2947</v>
      </c>
      <c r="F818" s="457" t="s">
        <v>2948</v>
      </c>
      <c r="G818" s="458">
        <v>-2267667898.5</v>
      </c>
      <c r="H818" s="458">
        <v>-2267667898.5</v>
      </c>
      <c r="I818" s="461">
        <v>0</v>
      </c>
      <c r="J818" s="456" t="s">
        <v>1484</v>
      </c>
      <c r="K818" s="456" t="s">
        <v>778</v>
      </c>
      <c r="L818" s="456" t="s">
        <v>164</v>
      </c>
    </row>
    <row r="819" spans="1:12" x14ac:dyDescent="0.2">
      <c r="A819" s="456" t="s">
        <v>2001</v>
      </c>
      <c r="B819" s="456" t="s">
        <v>2946</v>
      </c>
      <c r="C819" s="456" t="s">
        <v>779</v>
      </c>
      <c r="D819" s="456" t="s">
        <v>1220</v>
      </c>
      <c r="E819" s="456" t="s">
        <v>2949</v>
      </c>
      <c r="F819" s="457" t="s">
        <v>2950</v>
      </c>
      <c r="G819" s="458">
        <v>36695944.909999996</v>
      </c>
      <c r="H819" s="461">
        <v>0</v>
      </c>
      <c r="I819" s="458">
        <v>36695944.909999996</v>
      </c>
      <c r="J819" s="456" t="s">
        <v>299</v>
      </c>
      <c r="K819" s="456" t="s">
        <v>778</v>
      </c>
      <c r="L819" s="456" t="s">
        <v>164</v>
      </c>
    </row>
    <row r="820" spans="1:12" x14ac:dyDescent="0.2">
      <c r="A820" s="459" t="s">
        <v>2027</v>
      </c>
      <c r="B820" s="459" t="s">
        <v>2946</v>
      </c>
      <c r="C820" s="459" t="s">
        <v>299</v>
      </c>
      <c r="D820" s="459" t="s">
        <v>299</v>
      </c>
      <c r="E820" s="459" t="s">
        <v>299</v>
      </c>
      <c r="F820" s="457" t="s">
        <v>2951</v>
      </c>
      <c r="G820" s="460">
        <v>-2230971953.5900002</v>
      </c>
      <c r="H820" s="460">
        <v>-2267667898.5</v>
      </c>
      <c r="I820" s="460">
        <v>36695944.909999996</v>
      </c>
      <c r="J820" s="459" t="s">
        <v>1593</v>
      </c>
      <c r="K820" s="459" t="s">
        <v>778</v>
      </c>
      <c r="L820" s="459" t="s">
        <v>164</v>
      </c>
    </row>
    <row r="821" spans="1:12" x14ac:dyDescent="0.2">
      <c r="A821" s="456" t="s">
        <v>2001</v>
      </c>
      <c r="B821" s="456" t="s">
        <v>2952</v>
      </c>
      <c r="C821" s="456" t="s">
        <v>779</v>
      </c>
      <c r="D821" s="456" t="s">
        <v>1220</v>
      </c>
      <c r="E821" s="456" t="s">
        <v>2953</v>
      </c>
      <c r="F821" s="457" t="s">
        <v>2954</v>
      </c>
      <c r="G821" s="458">
        <v>-131794569.79000001</v>
      </c>
      <c r="H821" s="461">
        <v>0</v>
      </c>
      <c r="I821" s="458">
        <v>-131794569.79000001</v>
      </c>
      <c r="J821" s="456" t="s">
        <v>299</v>
      </c>
      <c r="K821" s="456" t="s">
        <v>778</v>
      </c>
      <c r="L821" s="456" t="s">
        <v>164</v>
      </c>
    </row>
    <row r="822" spans="1:12" x14ac:dyDescent="0.2">
      <c r="A822" s="456" t="s">
        <v>2001</v>
      </c>
      <c r="B822" s="456" t="s">
        <v>2952</v>
      </c>
      <c r="C822" s="456" t="s">
        <v>779</v>
      </c>
      <c r="D822" s="456" t="s">
        <v>1220</v>
      </c>
      <c r="E822" s="456" t="s">
        <v>2955</v>
      </c>
      <c r="F822" s="457" t="s">
        <v>2956</v>
      </c>
      <c r="G822" s="458">
        <v>-819000000</v>
      </c>
      <c r="H822" s="461">
        <v>0</v>
      </c>
      <c r="I822" s="458">
        <v>-819000000</v>
      </c>
      <c r="J822" s="456" t="s">
        <v>299</v>
      </c>
      <c r="K822" s="456" t="s">
        <v>778</v>
      </c>
      <c r="L822" s="456" t="s">
        <v>164</v>
      </c>
    </row>
    <row r="823" spans="1:12" x14ac:dyDescent="0.2">
      <c r="A823" s="459" t="s">
        <v>2027</v>
      </c>
      <c r="B823" s="459" t="s">
        <v>2952</v>
      </c>
      <c r="C823" s="459" t="s">
        <v>299</v>
      </c>
      <c r="D823" s="459" t="s">
        <v>299</v>
      </c>
      <c r="E823" s="459" t="s">
        <v>299</v>
      </c>
      <c r="F823" s="457" t="s">
        <v>2957</v>
      </c>
      <c r="G823" s="460">
        <v>-950794569.78999996</v>
      </c>
      <c r="H823" s="462">
        <v>0</v>
      </c>
      <c r="I823" s="460">
        <v>-950794569.78999996</v>
      </c>
      <c r="J823" s="459" t="s">
        <v>299</v>
      </c>
      <c r="K823" s="459" t="s">
        <v>778</v>
      </c>
      <c r="L823" s="459" t="s">
        <v>164</v>
      </c>
    </row>
    <row r="824" spans="1:12" x14ac:dyDescent="0.2">
      <c r="A824" s="459" t="s">
        <v>2106</v>
      </c>
      <c r="B824" s="459" t="s">
        <v>2958</v>
      </c>
      <c r="C824" s="459" t="s">
        <v>299</v>
      </c>
      <c r="D824" s="459" t="s">
        <v>299</v>
      </c>
      <c r="E824" s="459" t="s">
        <v>299</v>
      </c>
      <c r="F824" s="457" t="s">
        <v>2959</v>
      </c>
      <c r="G824" s="460">
        <v>-3181766523.3800001</v>
      </c>
      <c r="H824" s="460">
        <v>-2267667898.5</v>
      </c>
      <c r="I824" s="460">
        <v>-914098624.88</v>
      </c>
      <c r="J824" s="459" t="s">
        <v>2960</v>
      </c>
      <c r="K824" s="459" t="s">
        <v>778</v>
      </c>
      <c r="L824" s="459" t="s">
        <v>164</v>
      </c>
    </row>
    <row r="825" spans="1:12" x14ac:dyDescent="0.2">
      <c r="A825" s="456" t="s">
        <v>2001</v>
      </c>
      <c r="B825" s="456" t="s">
        <v>2961</v>
      </c>
      <c r="C825" s="456" t="s">
        <v>779</v>
      </c>
      <c r="D825" s="456" t="s">
        <v>1220</v>
      </c>
      <c r="E825" s="456" t="s">
        <v>2962</v>
      </c>
      <c r="F825" s="457" t="s">
        <v>2963</v>
      </c>
      <c r="G825" s="458">
        <v>-4644377.59</v>
      </c>
      <c r="H825" s="458">
        <v>9684528.9399999995</v>
      </c>
      <c r="I825" s="458">
        <v>-14328906.529999999</v>
      </c>
      <c r="J825" s="456" t="s">
        <v>2964</v>
      </c>
      <c r="K825" s="456" t="s">
        <v>778</v>
      </c>
      <c r="L825" s="456" t="s">
        <v>164</v>
      </c>
    </row>
    <row r="826" spans="1:12" x14ac:dyDescent="0.2">
      <c r="A826" s="459" t="s">
        <v>2027</v>
      </c>
      <c r="B826" s="459" t="s">
        <v>2961</v>
      </c>
      <c r="C826" s="459" t="s">
        <v>299</v>
      </c>
      <c r="D826" s="459" t="s">
        <v>299</v>
      </c>
      <c r="E826" s="459" t="s">
        <v>299</v>
      </c>
      <c r="F826" s="457" t="s">
        <v>2965</v>
      </c>
      <c r="G826" s="460">
        <v>-4644377.59</v>
      </c>
      <c r="H826" s="460">
        <v>9684528.9399999995</v>
      </c>
      <c r="I826" s="460">
        <v>-14328906.529999999</v>
      </c>
      <c r="J826" s="459" t="s">
        <v>2964</v>
      </c>
      <c r="K826" s="459" t="s">
        <v>778</v>
      </c>
      <c r="L826" s="459" t="s">
        <v>164</v>
      </c>
    </row>
    <row r="827" spans="1:12" x14ac:dyDescent="0.2">
      <c r="A827" s="456" t="s">
        <v>2001</v>
      </c>
      <c r="B827" s="456" t="s">
        <v>2966</v>
      </c>
      <c r="C827" s="456" t="s">
        <v>2360</v>
      </c>
      <c r="D827" s="456" t="s">
        <v>1220</v>
      </c>
      <c r="E827" s="456" t="s">
        <v>2967</v>
      </c>
      <c r="F827" s="457" t="s">
        <v>2968</v>
      </c>
      <c r="G827" s="458">
        <v>10822917.73</v>
      </c>
      <c r="H827" s="458">
        <v>8009769.1200000001</v>
      </c>
      <c r="I827" s="458">
        <v>2813148.61</v>
      </c>
      <c r="J827" s="456" t="s">
        <v>2969</v>
      </c>
      <c r="K827" s="456" t="s">
        <v>778</v>
      </c>
      <c r="L827" s="456" t="s">
        <v>164</v>
      </c>
    </row>
    <row r="828" spans="1:12" x14ac:dyDescent="0.2">
      <c r="A828" s="456" t="s">
        <v>2001</v>
      </c>
      <c r="B828" s="456" t="s">
        <v>2966</v>
      </c>
      <c r="C828" s="456" t="s">
        <v>2360</v>
      </c>
      <c r="D828" s="456" t="s">
        <v>1220</v>
      </c>
      <c r="E828" s="456" t="s">
        <v>2970</v>
      </c>
      <c r="F828" s="457" t="s">
        <v>2971</v>
      </c>
      <c r="G828" s="458">
        <v>-4157325.87</v>
      </c>
      <c r="H828" s="458">
        <v>2813148.61</v>
      </c>
      <c r="I828" s="458">
        <v>-6970474.4800000004</v>
      </c>
      <c r="J828" s="456" t="s">
        <v>2972</v>
      </c>
      <c r="K828" s="456" t="s">
        <v>778</v>
      </c>
      <c r="L828" s="456" t="s">
        <v>164</v>
      </c>
    </row>
    <row r="829" spans="1:12" x14ac:dyDescent="0.2">
      <c r="A829" s="459" t="s">
        <v>2027</v>
      </c>
      <c r="B829" s="459" t="s">
        <v>2966</v>
      </c>
      <c r="C829" s="459" t="s">
        <v>299</v>
      </c>
      <c r="D829" s="459" t="s">
        <v>299</v>
      </c>
      <c r="E829" s="459" t="s">
        <v>299</v>
      </c>
      <c r="F829" s="457" t="s">
        <v>2973</v>
      </c>
      <c r="G829" s="460">
        <v>6665591.8600000003</v>
      </c>
      <c r="H829" s="460">
        <v>10822917.73</v>
      </c>
      <c r="I829" s="460">
        <v>-4157325.87</v>
      </c>
      <c r="J829" s="459" t="s">
        <v>1585</v>
      </c>
      <c r="K829" s="459" t="s">
        <v>778</v>
      </c>
      <c r="L829" s="459" t="s">
        <v>164</v>
      </c>
    </row>
    <row r="830" spans="1:12" x14ac:dyDescent="0.2">
      <c r="A830" s="456" t="s">
        <v>1162</v>
      </c>
      <c r="B830" s="456" t="s">
        <v>2974</v>
      </c>
      <c r="C830" s="456" t="s">
        <v>779</v>
      </c>
      <c r="D830" s="456" t="s">
        <v>1220</v>
      </c>
      <c r="E830" s="456" t="s">
        <v>2975</v>
      </c>
      <c r="F830" s="457" t="s">
        <v>2976</v>
      </c>
      <c r="G830" s="458">
        <v>-9612444.7799999993</v>
      </c>
      <c r="H830" s="461">
        <v>0</v>
      </c>
      <c r="I830" s="458">
        <v>-9612444.7799999993</v>
      </c>
      <c r="J830" s="456" t="s">
        <v>299</v>
      </c>
      <c r="K830" s="456" t="s">
        <v>778</v>
      </c>
      <c r="L830" s="456" t="s">
        <v>164</v>
      </c>
    </row>
    <row r="831" spans="1:12" x14ac:dyDescent="0.2">
      <c r="A831" s="459" t="s">
        <v>2001</v>
      </c>
      <c r="B831" s="459" t="s">
        <v>2974</v>
      </c>
      <c r="C831" s="459" t="s">
        <v>299</v>
      </c>
      <c r="D831" s="459" t="s">
        <v>299</v>
      </c>
      <c r="E831" s="459" t="s">
        <v>299</v>
      </c>
      <c r="F831" s="457" t="s">
        <v>2977</v>
      </c>
      <c r="G831" s="460">
        <v>-9612444.7799999993</v>
      </c>
      <c r="H831" s="462">
        <v>0</v>
      </c>
      <c r="I831" s="460">
        <v>-9612444.7799999993</v>
      </c>
      <c r="J831" s="459" t="s">
        <v>299</v>
      </c>
      <c r="K831" s="459" t="s">
        <v>778</v>
      </c>
      <c r="L831" s="459" t="s">
        <v>164</v>
      </c>
    </row>
    <row r="832" spans="1:12" x14ac:dyDescent="0.2">
      <c r="A832" s="459" t="s">
        <v>2027</v>
      </c>
      <c r="B832" s="459" t="s">
        <v>2978</v>
      </c>
      <c r="C832" s="459" t="s">
        <v>299</v>
      </c>
      <c r="D832" s="459" t="s">
        <v>299</v>
      </c>
      <c r="E832" s="459" t="s">
        <v>299</v>
      </c>
      <c r="F832" s="457" t="s">
        <v>2979</v>
      </c>
      <c r="G832" s="460">
        <v>-9612444.7799999993</v>
      </c>
      <c r="H832" s="462">
        <v>0</v>
      </c>
      <c r="I832" s="460">
        <v>-9612444.7799999993</v>
      </c>
      <c r="J832" s="459" t="s">
        <v>299</v>
      </c>
      <c r="K832" s="459" t="s">
        <v>778</v>
      </c>
      <c r="L832" s="459" t="s">
        <v>164</v>
      </c>
    </row>
    <row r="833" spans="1:12" x14ac:dyDescent="0.2">
      <c r="A833" s="456" t="s">
        <v>2001</v>
      </c>
      <c r="B833" s="456" t="s">
        <v>2980</v>
      </c>
      <c r="C833" s="456" t="s">
        <v>779</v>
      </c>
      <c r="D833" s="456" t="s">
        <v>1220</v>
      </c>
      <c r="E833" s="456" t="s">
        <v>2981</v>
      </c>
      <c r="F833" s="457" t="s">
        <v>2982</v>
      </c>
      <c r="G833" s="458">
        <v>-13288511.6</v>
      </c>
      <c r="H833" s="458">
        <v>-24576484.510000002</v>
      </c>
      <c r="I833" s="458">
        <v>11287972.91</v>
      </c>
      <c r="J833" s="456" t="s">
        <v>2983</v>
      </c>
      <c r="K833" s="456" t="s">
        <v>778</v>
      </c>
      <c r="L833" s="456" t="s">
        <v>164</v>
      </c>
    </row>
    <row r="834" spans="1:12" x14ac:dyDescent="0.2">
      <c r="A834" s="456" t="s">
        <v>2001</v>
      </c>
      <c r="B834" s="456" t="s">
        <v>2980</v>
      </c>
      <c r="C834" s="456" t="s">
        <v>779</v>
      </c>
      <c r="D834" s="456" t="s">
        <v>1220</v>
      </c>
      <c r="E834" s="456" t="s">
        <v>2984</v>
      </c>
      <c r="F834" s="457" t="s">
        <v>2985</v>
      </c>
      <c r="G834" s="458">
        <v>-14023137.59</v>
      </c>
      <c r="H834" s="458">
        <v>-180449467.88999999</v>
      </c>
      <c r="I834" s="458">
        <v>166426330.30000001</v>
      </c>
      <c r="J834" s="456" t="s">
        <v>2986</v>
      </c>
      <c r="K834" s="456" t="s">
        <v>778</v>
      </c>
      <c r="L834" s="456" t="s">
        <v>164</v>
      </c>
    </row>
    <row r="835" spans="1:12" x14ac:dyDescent="0.2">
      <c r="A835" s="456" t="s">
        <v>2001</v>
      </c>
      <c r="B835" s="456" t="s">
        <v>2980</v>
      </c>
      <c r="C835" s="456" t="s">
        <v>779</v>
      </c>
      <c r="D835" s="456" t="s">
        <v>1220</v>
      </c>
      <c r="E835" s="456" t="s">
        <v>2987</v>
      </c>
      <c r="F835" s="457" t="s">
        <v>2988</v>
      </c>
      <c r="G835" s="458">
        <v>15806825.310000001</v>
      </c>
      <c r="H835" s="458">
        <v>192247040.80000001</v>
      </c>
      <c r="I835" s="458">
        <v>-176440215.49000001</v>
      </c>
      <c r="J835" s="456" t="s">
        <v>2989</v>
      </c>
      <c r="K835" s="456" t="s">
        <v>778</v>
      </c>
      <c r="L835" s="456" t="s">
        <v>164</v>
      </c>
    </row>
    <row r="836" spans="1:12" x14ac:dyDescent="0.2">
      <c r="A836" s="459" t="s">
        <v>2027</v>
      </c>
      <c r="B836" s="459" t="s">
        <v>2980</v>
      </c>
      <c r="C836" s="459" t="s">
        <v>299</v>
      </c>
      <c r="D836" s="459" t="s">
        <v>299</v>
      </c>
      <c r="E836" s="459" t="s">
        <v>299</v>
      </c>
      <c r="F836" s="457" t="s">
        <v>2990</v>
      </c>
      <c r="G836" s="460">
        <v>-11504823.880000001</v>
      </c>
      <c r="H836" s="460">
        <v>-12778911.6</v>
      </c>
      <c r="I836" s="460">
        <v>1274087.72</v>
      </c>
      <c r="J836" s="459" t="s">
        <v>2991</v>
      </c>
      <c r="K836" s="459" t="s">
        <v>778</v>
      </c>
      <c r="L836" s="459" t="s">
        <v>164</v>
      </c>
    </row>
    <row r="837" spans="1:12" x14ac:dyDescent="0.2">
      <c r="A837" s="459" t="s">
        <v>2106</v>
      </c>
      <c r="B837" s="459" t="s">
        <v>2992</v>
      </c>
      <c r="C837" s="459" t="s">
        <v>299</v>
      </c>
      <c r="D837" s="459" t="s">
        <v>299</v>
      </c>
      <c r="E837" s="459" t="s">
        <v>299</v>
      </c>
      <c r="F837" s="457" t="s">
        <v>2993</v>
      </c>
      <c r="G837" s="460">
        <v>-19096054.390000001</v>
      </c>
      <c r="H837" s="460">
        <v>7728535.0700000003</v>
      </c>
      <c r="I837" s="460">
        <v>-26824589.460000001</v>
      </c>
      <c r="J837" s="459" t="s">
        <v>2994</v>
      </c>
      <c r="K837" s="459" t="s">
        <v>778</v>
      </c>
      <c r="L837" s="459" t="s">
        <v>164</v>
      </c>
    </row>
    <row r="838" spans="1:12" x14ac:dyDescent="0.2">
      <c r="A838" s="456" t="s">
        <v>2027</v>
      </c>
      <c r="B838" s="456" t="s">
        <v>2995</v>
      </c>
      <c r="C838" s="456" t="s">
        <v>780</v>
      </c>
      <c r="D838" s="456" t="s">
        <v>780</v>
      </c>
      <c r="E838" s="456" t="s">
        <v>2996</v>
      </c>
      <c r="F838" s="457" t="s">
        <v>2997</v>
      </c>
      <c r="G838" s="458">
        <v>-538737790.88</v>
      </c>
      <c r="H838" s="458">
        <v>-152882282.97</v>
      </c>
      <c r="I838" s="458">
        <v>-385855507.91000003</v>
      </c>
      <c r="J838" s="456" t="s">
        <v>2998</v>
      </c>
      <c r="K838" s="456" t="s">
        <v>778</v>
      </c>
      <c r="L838" s="456" t="s">
        <v>164</v>
      </c>
    </row>
    <row r="839" spans="1:12" x14ac:dyDescent="0.2">
      <c r="A839" s="456" t="s">
        <v>2027</v>
      </c>
      <c r="B839" s="456" t="s">
        <v>2995</v>
      </c>
      <c r="C839" s="456" t="s">
        <v>779</v>
      </c>
      <c r="D839" s="456" t="s">
        <v>780</v>
      </c>
      <c r="E839" s="456" t="s">
        <v>2999</v>
      </c>
      <c r="F839" s="457" t="s">
        <v>3000</v>
      </c>
      <c r="G839" s="458">
        <v>15634528.939999999</v>
      </c>
      <c r="H839" s="461">
        <v>0</v>
      </c>
      <c r="I839" s="458">
        <v>15634528.939999999</v>
      </c>
      <c r="J839" s="456" t="s">
        <v>299</v>
      </c>
      <c r="K839" s="456" t="s">
        <v>778</v>
      </c>
      <c r="L839" s="456" t="s">
        <v>164</v>
      </c>
    </row>
    <row r="840" spans="1:12" x14ac:dyDescent="0.2">
      <c r="A840" s="456" t="s">
        <v>2027</v>
      </c>
      <c r="B840" s="456" t="s">
        <v>2995</v>
      </c>
      <c r="C840" s="456" t="s">
        <v>779</v>
      </c>
      <c r="D840" s="456" t="s">
        <v>780</v>
      </c>
      <c r="E840" s="456" t="s">
        <v>3001</v>
      </c>
      <c r="F840" s="457" t="s">
        <v>3002</v>
      </c>
      <c r="G840" s="458">
        <v>237359959.19999999</v>
      </c>
      <c r="H840" s="458">
        <v>219343899.40000001</v>
      </c>
      <c r="I840" s="458">
        <v>18016059.800000001</v>
      </c>
      <c r="J840" s="456" t="s">
        <v>3003</v>
      </c>
      <c r="K840" s="456" t="s">
        <v>778</v>
      </c>
      <c r="L840" s="456" t="s">
        <v>164</v>
      </c>
    </row>
    <row r="841" spans="1:12" x14ac:dyDescent="0.2">
      <c r="A841" s="459" t="s">
        <v>2106</v>
      </c>
      <c r="B841" s="459" t="s">
        <v>2995</v>
      </c>
      <c r="C841" s="459" t="s">
        <v>299</v>
      </c>
      <c r="D841" s="459" t="s">
        <v>299</v>
      </c>
      <c r="E841" s="459" t="s">
        <v>299</v>
      </c>
      <c r="F841" s="457" t="s">
        <v>3004</v>
      </c>
      <c r="G841" s="460">
        <v>-285743302.74000001</v>
      </c>
      <c r="H841" s="460">
        <v>66461616.43</v>
      </c>
      <c r="I841" s="460">
        <v>-352204919.17000002</v>
      </c>
      <c r="J841" s="459" t="s">
        <v>3005</v>
      </c>
      <c r="K841" s="459" t="s">
        <v>778</v>
      </c>
      <c r="L841" s="459" t="s">
        <v>164</v>
      </c>
    </row>
    <row r="842" spans="1:12" x14ac:dyDescent="0.2">
      <c r="A842" s="459" t="s">
        <v>2110</v>
      </c>
      <c r="B842" s="459" t="s">
        <v>3006</v>
      </c>
      <c r="C842" s="459" t="s">
        <v>299</v>
      </c>
      <c r="D842" s="459" t="s">
        <v>299</v>
      </c>
      <c r="E842" s="459" t="s">
        <v>299</v>
      </c>
      <c r="F842" s="457" t="s">
        <v>3007</v>
      </c>
      <c r="G842" s="460">
        <v>-3486605880.5100002</v>
      </c>
      <c r="H842" s="460">
        <v>-2193477747</v>
      </c>
      <c r="I842" s="460">
        <v>-1293128133.51</v>
      </c>
      <c r="J842" s="459" t="s">
        <v>1881</v>
      </c>
      <c r="K842" s="459" t="s">
        <v>778</v>
      </c>
      <c r="L842" s="459" t="s">
        <v>164</v>
      </c>
    </row>
    <row r="843" spans="1:12" x14ac:dyDescent="0.2">
      <c r="A843" s="459" t="s">
        <v>2113</v>
      </c>
      <c r="B843" s="459" t="s">
        <v>3008</v>
      </c>
      <c r="C843" s="459" t="s">
        <v>299</v>
      </c>
      <c r="D843" s="459" t="s">
        <v>299</v>
      </c>
      <c r="E843" s="459" t="s">
        <v>299</v>
      </c>
      <c r="F843" s="457" t="s">
        <v>3009</v>
      </c>
      <c r="G843" s="460">
        <v>44302518.479999997</v>
      </c>
      <c r="H843" s="460">
        <v>605199407.27999997</v>
      </c>
      <c r="I843" s="460">
        <v>-560896888.79999995</v>
      </c>
      <c r="J843" s="459" t="s">
        <v>1622</v>
      </c>
      <c r="K843" s="459" t="s">
        <v>778</v>
      </c>
      <c r="L843" s="459" t="s">
        <v>164</v>
      </c>
    </row>
    <row r="844" spans="1:12" x14ac:dyDescent="0.2">
      <c r="A844" s="459" t="s">
        <v>2110</v>
      </c>
      <c r="B844" s="459" t="s">
        <v>3010</v>
      </c>
      <c r="C844" s="459" t="s">
        <v>299</v>
      </c>
      <c r="D844" s="459" t="s">
        <v>299</v>
      </c>
      <c r="E844" s="459" t="s">
        <v>299</v>
      </c>
      <c r="F844" s="457" t="s">
        <v>3011</v>
      </c>
      <c r="G844" s="460">
        <v>-3530908398.9899998</v>
      </c>
      <c r="H844" s="460">
        <v>-2798677154.2800002</v>
      </c>
      <c r="I844" s="460">
        <v>-732231244.71000004</v>
      </c>
      <c r="J844" s="459" t="s">
        <v>3012</v>
      </c>
      <c r="K844" s="459" t="s">
        <v>778</v>
      </c>
      <c r="L844" s="459" t="s">
        <v>164</v>
      </c>
    </row>
    <row r="845" spans="1:12" x14ac:dyDescent="0.2">
      <c r="A845" s="459" t="s">
        <v>2110</v>
      </c>
      <c r="B845" s="459" t="s">
        <v>3013</v>
      </c>
      <c r="C845" s="459" t="s">
        <v>299</v>
      </c>
      <c r="D845" s="459" t="s">
        <v>299</v>
      </c>
      <c r="E845" s="459" t="s">
        <v>299</v>
      </c>
      <c r="F845" s="457" t="s">
        <v>299</v>
      </c>
      <c r="G845" s="460">
        <v>3530908398.9899998</v>
      </c>
      <c r="H845" s="460">
        <v>2798677154.2800002</v>
      </c>
      <c r="I845" s="460">
        <v>732231244.71000004</v>
      </c>
      <c r="J845" s="459" t="s">
        <v>2945</v>
      </c>
      <c r="K845" s="459" t="s">
        <v>778</v>
      </c>
      <c r="L845" s="459" t="s">
        <v>164</v>
      </c>
    </row>
    <row r="846" spans="1:12" x14ac:dyDescent="0.2">
      <c r="A846" s="459" t="s">
        <v>2113</v>
      </c>
      <c r="B846" s="459" t="s">
        <v>3014</v>
      </c>
      <c r="C846" s="459" t="s">
        <v>299</v>
      </c>
      <c r="D846" s="459" t="s">
        <v>299</v>
      </c>
      <c r="E846" s="459" t="s">
        <v>299</v>
      </c>
      <c r="F846" s="457" t="s">
        <v>3015</v>
      </c>
      <c r="G846" s="462">
        <v>0</v>
      </c>
      <c r="H846" s="462">
        <v>0</v>
      </c>
      <c r="I846" s="462">
        <v>0</v>
      </c>
      <c r="J846" s="459" t="s">
        <v>299</v>
      </c>
      <c r="K846" s="459" t="s">
        <v>778</v>
      </c>
      <c r="L846" s="459" t="s">
        <v>164</v>
      </c>
    </row>
    <row r="847" spans="1:12" x14ac:dyDescent="0.2">
      <c r="G847" s="463">
        <v>39903</v>
      </c>
      <c r="H847" s="463">
        <v>39721</v>
      </c>
    </row>
    <row r="849" spans="1:8" s="97" customFormat="1" x14ac:dyDescent="0.2">
      <c r="A849" s="464" t="s">
        <v>3016</v>
      </c>
      <c r="G849" s="465">
        <f>G639-G635-G602-G596</f>
        <v>746783738.22000051</v>
      </c>
      <c r="H849" s="465">
        <f>H639-H635-H602-H596</f>
        <v>735082044.51999998</v>
      </c>
    </row>
  </sheetData>
  <pageMargins left="0.7" right="0.7" top="0.75" bottom="0.75" header="0.3" footer="0.3"/>
  <customProperties>
    <customPr name="_pios_id" r:id="rId1"/>
  </customPropertie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8"/>
  <sheetViews>
    <sheetView topLeftCell="A4" workbookViewId="0"/>
  </sheetViews>
  <sheetFormatPr defaultRowHeight="12.75" x14ac:dyDescent="0.2"/>
  <cols>
    <col min="1" max="1" width="28.5703125" bestFit="1" customWidth="1"/>
    <col min="2" max="2" width="20.42578125" bestFit="1" customWidth="1"/>
    <col min="3" max="4" width="16.5703125" bestFit="1" customWidth="1"/>
    <col min="5" max="5" width="15.7109375" bestFit="1" customWidth="1"/>
  </cols>
  <sheetData>
    <row r="1" spans="1:5" x14ac:dyDescent="0.2">
      <c r="A1" s="488" t="s">
        <v>349</v>
      </c>
      <c r="B1" s="488"/>
      <c r="C1" s="488"/>
      <c r="D1" s="488"/>
      <c r="E1" s="488"/>
    </row>
    <row r="2" spans="1:5" x14ac:dyDescent="0.2">
      <c r="A2" s="477" t="s">
        <v>360</v>
      </c>
      <c r="B2" s="477" t="s">
        <v>299</v>
      </c>
      <c r="C2" s="478" t="s">
        <v>350</v>
      </c>
      <c r="D2" s="478" t="s">
        <v>351</v>
      </c>
      <c r="E2" s="478" t="s">
        <v>352</v>
      </c>
    </row>
    <row r="3" spans="1:5" x14ac:dyDescent="0.2">
      <c r="A3" s="479" t="s">
        <v>366</v>
      </c>
      <c r="B3" s="479" t="s">
        <v>299</v>
      </c>
      <c r="C3" s="480">
        <v>-35415678.089999802</v>
      </c>
      <c r="D3" s="480">
        <v>1115398.3100000501</v>
      </c>
      <c r="E3" s="480">
        <v>-36531076.399999902</v>
      </c>
    </row>
    <row r="4" spans="1:5" x14ac:dyDescent="0.2">
      <c r="A4" s="485" t="s">
        <v>367</v>
      </c>
      <c r="B4" s="481" t="s">
        <v>368</v>
      </c>
      <c r="C4" s="519"/>
      <c r="D4" s="519"/>
      <c r="E4" s="519"/>
    </row>
    <row r="5" spans="1:5" x14ac:dyDescent="0.2">
      <c r="A5" s="486" t="s">
        <v>369</v>
      </c>
      <c r="B5" s="482" t="s">
        <v>370</v>
      </c>
      <c r="C5" s="483">
        <v>149402249.62</v>
      </c>
      <c r="D5" s="483">
        <v>227828334.22</v>
      </c>
      <c r="E5" s="483">
        <v>-78426084.599999994</v>
      </c>
    </row>
    <row r="6" spans="1:5" x14ac:dyDescent="0.2">
      <c r="A6" s="495" t="s">
        <v>371</v>
      </c>
      <c r="B6" s="494" t="s">
        <v>372</v>
      </c>
      <c r="C6" s="483">
        <v>129118013.25</v>
      </c>
      <c r="D6" s="483">
        <v>89197548.269999996</v>
      </c>
      <c r="E6" s="483">
        <v>39920464.979999997</v>
      </c>
    </row>
    <row r="7" spans="1:5" x14ac:dyDescent="0.2">
      <c r="A7" s="495" t="s">
        <v>373</v>
      </c>
      <c r="B7" s="494" t="s">
        <v>374</v>
      </c>
      <c r="C7" s="483">
        <v>20284236.370000001</v>
      </c>
      <c r="D7" s="483">
        <v>138630785.94999999</v>
      </c>
      <c r="E7" s="483">
        <v>-118346549.58</v>
      </c>
    </row>
    <row r="8" spans="1:5" x14ac:dyDescent="0.2">
      <c r="A8" s="497" t="s">
        <v>375</v>
      </c>
      <c r="B8" s="496" t="s">
        <v>376</v>
      </c>
      <c r="C8" s="483">
        <v>-519252455.12</v>
      </c>
      <c r="D8" s="483">
        <v>-389162549.94</v>
      </c>
      <c r="E8" s="483">
        <v>-130089905.18000001</v>
      </c>
    </row>
    <row r="9" spans="1:5" x14ac:dyDescent="0.2">
      <c r="A9" s="497" t="s">
        <v>377</v>
      </c>
      <c r="B9" s="496" t="s">
        <v>378</v>
      </c>
      <c r="C9" s="483">
        <v>13325212.800000001</v>
      </c>
      <c r="D9" s="483">
        <v>15629250</v>
      </c>
      <c r="E9" s="483">
        <v>-2304037.2000000002</v>
      </c>
    </row>
    <row r="10" spans="1:5" x14ac:dyDescent="0.2">
      <c r="A10" s="497" t="s">
        <v>379</v>
      </c>
      <c r="B10" s="496" t="s">
        <v>380</v>
      </c>
      <c r="C10" s="483">
        <v>80356924.540000007</v>
      </c>
      <c r="D10" s="483">
        <v>91594887.560000002</v>
      </c>
      <c r="E10" s="483">
        <v>-11237963.02</v>
      </c>
    </row>
    <row r="11" spans="1:5" x14ac:dyDescent="0.2">
      <c r="A11" s="497" t="s">
        <v>381</v>
      </c>
      <c r="B11" s="496" t="s">
        <v>382</v>
      </c>
      <c r="C11" s="483">
        <v>257967283.59999999</v>
      </c>
      <c r="D11" s="483">
        <v>199302661.44</v>
      </c>
      <c r="E11" s="483">
        <v>58664622.159999996</v>
      </c>
    </row>
    <row r="12" spans="1:5" x14ac:dyDescent="0.2">
      <c r="A12" s="497" t="s">
        <v>383</v>
      </c>
      <c r="B12" s="496" t="s">
        <v>384</v>
      </c>
      <c r="C12" s="483">
        <f>76387810.92+1358448000</f>
        <v>1434835810.9200001</v>
      </c>
      <c r="D12" s="483">
        <f>91891988.71+1358448000</f>
        <v>1450339988.71</v>
      </c>
      <c r="E12" s="483">
        <v>-15504177.789999999</v>
      </c>
    </row>
    <row r="13" spans="1:5" x14ac:dyDescent="0.2">
      <c r="A13" s="497" t="s">
        <v>385</v>
      </c>
      <c r="B13" s="496" t="s">
        <v>386</v>
      </c>
      <c r="C13" s="483">
        <v>111499459.62</v>
      </c>
      <c r="D13" s="483">
        <v>129374548.19</v>
      </c>
      <c r="E13" s="483">
        <v>-17875088.57</v>
      </c>
    </row>
    <row r="14" spans="1:5" x14ac:dyDescent="0.2">
      <c r="A14" s="497" t="s">
        <v>387</v>
      </c>
      <c r="B14" s="496" t="s">
        <v>388</v>
      </c>
      <c r="C14" s="483">
        <v>0.01</v>
      </c>
      <c r="D14" s="483">
        <v>-0.01</v>
      </c>
      <c r="E14" s="483">
        <v>0.02</v>
      </c>
    </row>
    <row r="15" spans="1:5" x14ac:dyDescent="0.2">
      <c r="A15" s="486" t="s">
        <v>389</v>
      </c>
      <c r="B15" s="482" t="s">
        <v>390</v>
      </c>
      <c r="C15" s="483">
        <v>-393069545.58999997</v>
      </c>
      <c r="D15" s="483">
        <v>-507688199.13</v>
      </c>
      <c r="E15" s="483">
        <v>114618653.54000001</v>
      </c>
    </row>
    <row r="16" spans="1:5" x14ac:dyDescent="0.2">
      <c r="A16" s="486" t="s">
        <v>391</v>
      </c>
      <c r="B16" s="482" t="s">
        <v>392</v>
      </c>
      <c r="C16" s="483">
        <v>243667295.97</v>
      </c>
      <c r="D16" s="483">
        <v>279859864.91000003</v>
      </c>
      <c r="E16" s="483">
        <v>-36192568.939999901</v>
      </c>
    </row>
    <row r="17" spans="1:5" x14ac:dyDescent="0.2">
      <c r="A17" s="487" t="s">
        <v>393</v>
      </c>
      <c r="B17" s="484" t="s">
        <v>299</v>
      </c>
      <c r="C17" s="483">
        <v>-35415678.090000004</v>
      </c>
      <c r="D17" s="483">
        <v>1115398.30999999</v>
      </c>
      <c r="E17" s="483">
        <v>-36531076.399999999</v>
      </c>
    </row>
    <row r="18" spans="1:5" x14ac:dyDescent="0.2">
      <c r="A18" s="506"/>
      <c r="B18" s="506"/>
      <c r="C18" s="506"/>
      <c r="D18" s="506"/>
      <c r="E18" s="506"/>
    </row>
    <row r="19" spans="1:5" x14ac:dyDescent="0.2">
      <c r="A19" s="506"/>
      <c r="B19" s="506"/>
      <c r="C19" s="506"/>
      <c r="D19" s="506"/>
      <c r="E19" s="506"/>
    </row>
    <row r="21" spans="1:5" x14ac:dyDescent="0.2">
      <c r="A21" s="184" t="s">
        <v>414</v>
      </c>
      <c r="B21">
        <v>0.68715000000000004</v>
      </c>
    </row>
    <row r="22" spans="1:5" x14ac:dyDescent="0.2">
      <c r="A22" s="184" t="s">
        <v>415</v>
      </c>
      <c r="B22">
        <v>0.80147000000000002</v>
      </c>
    </row>
    <row r="24" spans="1:5" x14ac:dyDescent="0.2">
      <c r="A24" s="184" t="s">
        <v>3017</v>
      </c>
      <c r="B24" s="505">
        <f>SUM(C9,C10,C11,C12,C14)</f>
        <v>1786485231.8700001</v>
      </c>
    </row>
    <row r="25" spans="1:5" x14ac:dyDescent="0.2">
      <c r="A25" s="184" t="s">
        <v>3018</v>
      </c>
      <c r="B25" s="505">
        <f>SUM(D9,D10,D11,D12,D14)</f>
        <v>1756866787.7</v>
      </c>
    </row>
    <row r="27" spans="1:5" x14ac:dyDescent="0.2">
      <c r="A27" s="184" t="s">
        <v>3019</v>
      </c>
      <c r="B27" s="207">
        <f>B24/B21</f>
        <v>2599847532.3728442</v>
      </c>
    </row>
    <row r="28" spans="1:5" x14ac:dyDescent="0.2">
      <c r="A28" s="184" t="s">
        <v>3020</v>
      </c>
      <c r="B28" s="207">
        <f>B25/B22</f>
        <v>2192055582.4921708</v>
      </c>
    </row>
  </sheetData>
  <pageMargins left="0.7" right="0.7" top="0.75" bottom="0.75" header="0.3" footer="0.3"/>
  <customProperties>
    <customPr name="_pios_id" r:id="rId1"/>
  </customProperti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33"/>
  <sheetViews>
    <sheetView showGridLines="0" tabSelected="1" zoomScale="120" zoomScaleNormal="120" workbookViewId="0">
      <pane ySplit="4" topLeftCell="A5" activePane="bottomLeft" state="frozen"/>
      <selection activeCell="CZ13" sqref="CZ13"/>
      <selection pane="bottomLeft" activeCell="A13" sqref="A13"/>
    </sheetView>
  </sheetViews>
  <sheetFormatPr defaultRowHeight="12.75" x14ac:dyDescent="0.2"/>
  <cols>
    <col min="1" max="1" width="51.7109375" customWidth="1"/>
    <col min="2" max="2" width="10" style="184" customWidth="1"/>
    <col min="3" max="3" width="0.7109375" customWidth="1"/>
    <col min="4" max="4" width="10" customWidth="1"/>
    <col min="5" max="5" width="2.28515625" customWidth="1"/>
    <col min="6" max="6" width="9" bestFit="1" customWidth="1"/>
    <col min="7" max="7" width="0.7109375" customWidth="1"/>
    <col min="8" max="8" width="10" customWidth="1"/>
    <col min="9" max="9" width="0.7109375" customWidth="1"/>
    <col min="10" max="10" width="10" customWidth="1"/>
    <col min="11" max="11" width="2.28515625" customWidth="1"/>
    <col min="12" max="12" width="9" bestFit="1" customWidth="1"/>
    <col min="13" max="13" width="0.7109375" customWidth="1"/>
    <col min="14" max="14" width="10" customWidth="1"/>
    <col min="15" max="15" width="0.7109375" customWidth="1"/>
    <col min="16" max="16" width="10" customWidth="1"/>
    <col min="17" max="17" width="2.28515625" customWidth="1"/>
    <col min="18" max="18" width="9" bestFit="1" customWidth="1"/>
    <col min="19" max="19" width="0.7109375" customWidth="1"/>
    <col min="20" max="20" width="10" customWidth="1"/>
    <col min="21" max="21" width="0.7109375" customWidth="1"/>
    <col min="22" max="22" width="10" customWidth="1"/>
    <col min="23" max="23" width="2.28515625" customWidth="1"/>
    <col min="24" max="24" width="10" customWidth="1"/>
    <col min="25" max="25" width="1" customWidth="1" collapsed="1"/>
    <col min="26" max="26" width="10" customWidth="1"/>
    <col min="27" max="27" width="0.7109375" customWidth="1"/>
    <col min="28" max="28" width="10" customWidth="1"/>
    <col min="29" max="29" width="1" customWidth="1"/>
    <col min="30" max="30" width="10" customWidth="1"/>
  </cols>
  <sheetData>
    <row r="1" spans="1:30" s="7" customFormat="1" ht="11.25" x14ac:dyDescent="0.2">
      <c r="A1" s="517" t="s">
        <v>10</v>
      </c>
      <c r="B1" s="581" t="s">
        <v>7</v>
      </c>
      <c r="C1" s="582"/>
      <c r="D1" s="583" t="s">
        <v>7</v>
      </c>
      <c r="E1" s="142"/>
      <c r="F1" s="580" t="s">
        <v>1</v>
      </c>
      <c r="G1" s="142"/>
      <c r="H1" s="581" t="s">
        <v>7</v>
      </c>
      <c r="I1" s="582"/>
      <c r="J1" s="583" t="s">
        <v>7</v>
      </c>
      <c r="K1" s="142"/>
      <c r="L1" s="580" t="s">
        <v>1</v>
      </c>
      <c r="M1" s="582"/>
      <c r="N1" s="581" t="s">
        <v>7</v>
      </c>
      <c r="O1" s="582"/>
      <c r="P1" s="583" t="s">
        <v>7</v>
      </c>
      <c r="Q1" s="142"/>
      <c r="R1" s="580" t="s">
        <v>1</v>
      </c>
      <c r="S1" s="582"/>
      <c r="T1" s="581" t="s">
        <v>7</v>
      </c>
      <c r="U1" s="582"/>
      <c r="V1" s="583" t="s">
        <v>7</v>
      </c>
      <c r="W1" s="142"/>
      <c r="X1" s="580" t="s">
        <v>1</v>
      </c>
      <c r="Y1" s="560"/>
      <c r="Z1" s="581" t="s">
        <v>7</v>
      </c>
      <c r="AA1" s="582"/>
      <c r="AB1" s="583" t="s">
        <v>7</v>
      </c>
      <c r="AC1" s="142"/>
      <c r="AD1" s="580" t="s">
        <v>1</v>
      </c>
    </row>
    <row r="2" spans="1:30" s="7" customFormat="1" ht="11.25" x14ac:dyDescent="0.2">
      <c r="A2" s="516" t="s">
        <v>11</v>
      </c>
      <c r="B2" s="585">
        <v>2023</v>
      </c>
      <c r="C2" s="586"/>
      <c r="D2" s="584">
        <v>2023</v>
      </c>
      <c r="E2" s="142"/>
      <c r="F2" s="584">
        <v>2023</v>
      </c>
      <c r="G2" s="586"/>
      <c r="H2" s="585">
        <v>2022</v>
      </c>
      <c r="I2" s="586"/>
      <c r="J2" s="584">
        <v>2022</v>
      </c>
      <c r="K2" s="142"/>
      <c r="L2" s="584">
        <v>2022</v>
      </c>
      <c r="M2" s="586"/>
      <c r="N2" s="585">
        <v>2021</v>
      </c>
      <c r="O2" s="586"/>
      <c r="P2" s="584">
        <v>2021</v>
      </c>
      <c r="Q2" s="142"/>
      <c r="R2" s="584">
        <v>2021</v>
      </c>
      <c r="S2" s="586"/>
      <c r="T2" s="585">
        <v>2020</v>
      </c>
      <c r="U2" s="586"/>
      <c r="V2" s="584">
        <v>2020</v>
      </c>
      <c r="W2" s="142"/>
      <c r="X2" s="584">
        <v>2020</v>
      </c>
      <c r="Y2" s="560"/>
      <c r="Z2" s="585">
        <v>2019</v>
      </c>
      <c r="AA2" s="586"/>
      <c r="AB2" s="584">
        <v>2019</v>
      </c>
      <c r="AC2" s="142"/>
      <c r="AD2" s="584">
        <v>2019</v>
      </c>
    </row>
    <row r="3" spans="1:30" s="7" customFormat="1" ht="11.25" x14ac:dyDescent="0.2">
      <c r="A3" s="515"/>
      <c r="B3" s="587" t="s">
        <v>9</v>
      </c>
      <c r="C3" s="586"/>
      <c r="D3" s="584" t="s">
        <v>8</v>
      </c>
      <c r="E3" s="142"/>
      <c r="F3" s="584" t="s">
        <v>8</v>
      </c>
      <c r="G3" s="586"/>
      <c r="H3" s="587" t="s">
        <v>9</v>
      </c>
      <c r="I3" s="586"/>
      <c r="J3" s="584" t="s">
        <v>8</v>
      </c>
      <c r="K3" s="142"/>
      <c r="L3" s="584" t="s">
        <v>8</v>
      </c>
      <c r="M3" s="586"/>
      <c r="N3" s="587" t="s">
        <v>9</v>
      </c>
      <c r="O3" s="586"/>
      <c r="P3" s="584" t="s">
        <v>8</v>
      </c>
      <c r="Q3" s="142"/>
      <c r="R3" s="584" t="s">
        <v>8</v>
      </c>
      <c r="S3" s="586"/>
      <c r="T3" s="587" t="s">
        <v>9</v>
      </c>
      <c r="U3" s="586"/>
      <c r="V3" s="584" t="s">
        <v>8</v>
      </c>
      <c r="W3" s="142"/>
      <c r="X3" s="584" t="s">
        <v>8</v>
      </c>
      <c r="Y3" s="560"/>
      <c r="Z3" s="587" t="s">
        <v>9</v>
      </c>
      <c r="AA3" s="586"/>
      <c r="AB3" s="584" t="s">
        <v>8</v>
      </c>
      <c r="AC3" s="142"/>
      <c r="AD3" s="584" t="s">
        <v>8</v>
      </c>
    </row>
    <row r="4" spans="1:30" s="7" customFormat="1" ht="11.25" x14ac:dyDescent="0.2">
      <c r="A4" s="514"/>
      <c r="B4" s="159"/>
      <c r="C4" s="160"/>
      <c r="D4" s="529"/>
      <c r="E4" s="142"/>
      <c r="F4" s="588"/>
      <c r="G4" s="160"/>
      <c r="H4" s="159"/>
      <c r="I4" s="160"/>
      <c r="J4" s="529"/>
      <c r="K4" s="142"/>
      <c r="L4" s="588"/>
      <c r="M4" s="160"/>
      <c r="N4" s="159"/>
      <c r="O4" s="160"/>
      <c r="P4" s="529"/>
      <c r="Q4" s="142"/>
      <c r="R4" s="588"/>
      <c r="S4" s="160"/>
      <c r="T4" s="159"/>
      <c r="U4" s="160"/>
      <c r="V4" s="529"/>
      <c r="W4" s="142"/>
      <c r="X4" s="588"/>
      <c r="Y4" s="560"/>
      <c r="Z4" s="159"/>
      <c r="AA4" s="160"/>
      <c r="AB4" s="529"/>
      <c r="AC4" s="142"/>
      <c r="AD4" s="588"/>
    </row>
    <row r="5" spans="1:30" s="7" customFormat="1" ht="11.25" x14ac:dyDescent="0.2">
      <c r="A5" s="142"/>
      <c r="B5" s="14"/>
      <c r="C5" s="177"/>
      <c r="D5" s="178"/>
      <c r="E5" s="142"/>
      <c r="F5" s="178"/>
      <c r="G5" s="177"/>
      <c r="H5" s="14"/>
      <c r="I5" s="177"/>
      <c r="J5" s="178"/>
      <c r="K5" s="142"/>
      <c r="L5" s="178"/>
      <c r="M5" s="177"/>
      <c r="N5" s="14"/>
      <c r="O5" s="177"/>
      <c r="P5" s="178"/>
      <c r="Q5" s="142"/>
      <c r="R5" s="178"/>
      <c r="S5" s="177"/>
      <c r="T5" s="14"/>
      <c r="U5" s="177"/>
      <c r="V5" s="178"/>
      <c r="W5" s="142"/>
      <c r="X5" s="178"/>
      <c r="Y5" s="142"/>
      <c r="Z5" s="14"/>
      <c r="AA5" s="177"/>
      <c r="AB5" s="178"/>
      <c r="AC5" s="142"/>
      <c r="AD5" s="178"/>
    </row>
    <row r="6" spans="1:30" s="7" customFormat="1" ht="11.25" x14ac:dyDescent="0.2">
      <c r="A6" s="648" t="s">
        <v>3094</v>
      </c>
      <c r="B6" s="14"/>
      <c r="C6" s="177"/>
      <c r="D6" s="178"/>
      <c r="E6" s="142"/>
      <c r="F6" s="178"/>
      <c r="G6" s="177"/>
      <c r="H6" s="14"/>
      <c r="I6" s="177"/>
      <c r="J6" s="178"/>
      <c r="K6" s="142"/>
      <c r="L6" s="178"/>
      <c r="M6" s="177"/>
      <c r="N6" s="14"/>
      <c r="O6" s="177"/>
      <c r="P6" s="178"/>
      <c r="Q6" s="142"/>
      <c r="R6" s="178"/>
      <c r="S6" s="177"/>
      <c r="T6" s="14"/>
      <c r="U6" s="177"/>
      <c r="V6" s="178"/>
      <c r="W6" s="142"/>
      <c r="X6" s="178"/>
      <c r="Y6" s="142"/>
      <c r="Z6" s="14"/>
      <c r="AA6" s="177"/>
      <c r="AB6" s="178"/>
      <c r="AC6" s="142"/>
      <c r="AD6" s="178"/>
    </row>
    <row r="7" spans="1:30" s="7" customFormat="1" ht="11.25" x14ac:dyDescent="0.2">
      <c r="A7" s="648"/>
      <c r="B7" s="14"/>
      <c r="C7" s="177"/>
      <c r="D7" s="178"/>
      <c r="E7" s="142"/>
      <c r="F7" s="178"/>
      <c r="G7" s="177"/>
      <c r="H7" s="14"/>
      <c r="I7" s="177"/>
      <c r="J7" s="178"/>
      <c r="K7" s="142"/>
      <c r="L7" s="178"/>
      <c r="M7" s="177"/>
      <c r="N7" s="14"/>
      <c r="O7" s="177"/>
      <c r="P7" s="178"/>
      <c r="Q7" s="142"/>
      <c r="R7" s="178"/>
      <c r="S7" s="177"/>
      <c r="T7" s="14"/>
      <c r="U7" s="177"/>
      <c r="V7" s="178"/>
      <c r="W7" s="142"/>
      <c r="X7" s="178"/>
      <c r="Y7" s="142"/>
      <c r="Z7" s="14"/>
      <c r="AA7" s="177"/>
      <c r="AB7" s="178"/>
      <c r="AC7" s="142"/>
      <c r="AD7" s="178"/>
    </row>
    <row r="8" spans="1:30" s="7" customFormat="1" ht="11.25" x14ac:dyDescent="0.2">
      <c r="A8" s="650" t="s">
        <v>3096</v>
      </c>
      <c r="B8" s="14"/>
      <c r="C8" s="177"/>
      <c r="D8" s="178"/>
      <c r="E8" s="142"/>
      <c r="F8" s="178"/>
      <c r="G8" s="177"/>
      <c r="H8" s="14"/>
      <c r="I8" s="177"/>
      <c r="J8" s="178"/>
      <c r="K8" s="142"/>
      <c r="L8" s="178"/>
      <c r="M8" s="177"/>
      <c r="N8" s="14"/>
      <c r="O8" s="177"/>
      <c r="P8" s="178"/>
      <c r="Q8" s="142"/>
      <c r="R8" s="178"/>
      <c r="S8" s="177"/>
      <c r="T8" s="14"/>
      <c r="U8" s="177"/>
      <c r="V8" s="178"/>
      <c r="W8" s="142"/>
      <c r="X8" s="178"/>
      <c r="Y8" s="142"/>
      <c r="Z8" s="14"/>
      <c r="AA8" s="177"/>
      <c r="AB8" s="178"/>
      <c r="AC8" s="142"/>
      <c r="AD8" s="178"/>
    </row>
    <row r="9" spans="1:30" s="7" customFormat="1" ht="11.25" x14ac:dyDescent="0.2">
      <c r="A9" s="573" t="s">
        <v>3086</v>
      </c>
      <c r="B9" s="14"/>
      <c r="C9" s="177"/>
      <c r="D9" s="107"/>
      <c r="E9" s="142"/>
      <c r="F9" s="572"/>
      <c r="G9" s="177"/>
      <c r="H9" s="14"/>
      <c r="I9" s="177"/>
      <c r="J9" s="107"/>
      <c r="K9" s="142"/>
      <c r="L9" s="572"/>
      <c r="M9" s="177"/>
      <c r="N9" s="14"/>
      <c r="O9" s="177"/>
      <c r="P9" s="107"/>
      <c r="Q9" s="142"/>
      <c r="R9" s="572"/>
      <c r="S9" s="177"/>
      <c r="T9" s="14"/>
      <c r="U9" s="177"/>
      <c r="V9" s="107"/>
      <c r="W9" s="142"/>
      <c r="X9" s="572"/>
      <c r="Y9" s="142"/>
      <c r="Z9" s="14"/>
      <c r="AA9" s="177"/>
      <c r="AB9" s="107"/>
      <c r="AC9" s="142"/>
      <c r="AD9" s="572"/>
    </row>
    <row r="10" spans="1:30" s="7" customFormat="1" ht="11.25" x14ac:dyDescent="0.2">
      <c r="A10" s="573" t="s">
        <v>3088</v>
      </c>
      <c r="B10" s="14">
        <v>1735.3</v>
      </c>
      <c r="C10" s="177"/>
      <c r="D10" s="107">
        <v>1101.5999999999999</v>
      </c>
      <c r="E10" s="142"/>
      <c r="F10" s="572">
        <v>633.70000000000005</v>
      </c>
      <c r="G10" s="177"/>
      <c r="H10" s="14">
        <v>1532.9</v>
      </c>
      <c r="I10" s="177"/>
      <c r="J10" s="107">
        <v>870.40000000000009</v>
      </c>
      <c r="K10" s="142"/>
      <c r="L10" s="572">
        <v>662.5</v>
      </c>
      <c r="M10" s="177"/>
      <c r="N10" s="14">
        <v>1820.3914669999999</v>
      </c>
      <c r="O10" s="177"/>
      <c r="P10" s="107">
        <v>1124.1000000000001</v>
      </c>
      <c r="Q10" s="142"/>
      <c r="R10" s="572">
        <v>696.3</v>
      </c>
      <c r="S10" s="177"/>
      <c r="T10" s="14">
        <v>1844.4</v>
      </c>
      <c r="U10" s="177"/>
      <c r="V10" s="107">
        <v>1099.5</v>
      </c>
      <c r="W10" s="142"/>
      <c r="X10" s="572">
        <v>744.9</v>
      </c>
      <c r="Y10" s="142"/>
      <c r="Z10" s="14">
        <v>1596.6000000000001</v>
      </c>
      <c r="AA10" s="177"/>
      <c r="AB10" s="107">
        <v>1036.3999999999999</v>
      </c>
      <c r="AC10" s="142"/>
      <c r="AD10" s="572">
        <v>560.20000000000005</v>
      </c>
    </row>
    <row r="11" spans="1:30" s="7" customFormat="1" ht="11.25" x14ac:dyDescent="0.2">
      <c r="A11" s="573" t="s">
        <v>3089</v>
      </c>
      <c r="B11" s="14">
        <v>173</v>
      </c>
      <c r="C11" s="177"/>
      <c r="D11" s="107">
        <v>46.099999999999994</v>
      </c>
      <c r="E11" s="142"/>
      <c r="F11" s="572">
        <v>126.9</v>
      </c>
      <c r="G11" s="177"/>
      <c r="H11" s="14">
        <v>222.4</v>
      </c>
      <c r="I11" s="177"/>
      <c r="J11" s="107">
        <v>136.69999999999999</v>
      </c>
      <c r="K11" s="142"/>
      <c r="L11" s="572">
        <v>85.7</v>
      </c>
      <c r="M11" s="177"/>
      <c r="N11" s="14">
        <v>230.84288899999996</v>
      </c>
      <c r="O11" s="177"/>
      <c r="P11" s="107">
        <v>121.20000000000002</v>
      </c>
      <c r="Q11" s="142"/>
      <c r="R11" s="572">
        <v>109.6</v>
      </c>
      <c r="S11" s="177"/>
      <c r="T11" s="14">
        <v>217.1</v>
      </c>
      <c r="U11" s="177"/>
      <c r="V11" s="107">
        <v>111.3</v>
      </c>
      <c r="W11" s="142"/>
      <c r="X11" s="572">
        <v>105.8</v>
      </c>
      <c r="Y11" s="142"/>
      <c r="Z11" s="14">
        <v>239.7</v>
      </c>
      <c r="AA11" s="177"/>
      <c r="AB11" s="107">
        <v>144</v>
      </c>
      <c r="AC11" s="142"/>
      <c r="AD11" s="572">
        <v>95.7</v>
      </c>
    </row>
    <row r="12" spans="1:30" s="7" customFormat="1" ht="11.25" x14ac:dyDescent="0.2">
      <c r="A12" s="573"/>
      <c r="B12" s="14"/>
      <c r="C12" s="177"/>
      <c r="D12" s="107"/>
      <c r="E12" s="142"/>
      <c r="F12" s="572"/>
      <c r="G12" s="177"/>
      <c r="H12" s="14"/>
      <c r="I12" s="177"/>
      <c r="J12" s="107"/>
      <c r="K12" s="142"/>
      <c r="L12" s="572"/>
      <c r="M12" s="177"/>
      <c r="N12" s="14"/>
      <c r="O12" s="177"/>
      <c r="P12" s="107"/>
      <c r="Q12" s="142"/>
      <c r="R12" s="572"/>
      <c r="S12" s="177"/>
      <c r="T12" s="14"/>
      <c r="U12" s="177"/>
      <c r="V12" s="107"/>
      <c r="W12" s="142"/>
      <c r="X12" s="572"/>
      <c r="Y12" s="142"/>
      <c r="Z12" s="14"/>
      <c r="AA12" s="177"/>
      <c r="AB12" s="107"/>
      <c r="AC12" s="142"/>
      <c r="AD12" s="572"/>
    </row>
    <row r="13" spans="1:30" s="7" customFormat="1" ht="11.25" x14ac:dyDescent="0.2">
      <c r="A13" s="649" t="s">
        <v>3085</v>
      </c>
      <c r="B13" s="18"/>
      <c r="C13" s="177"/>
      <c r="D13" s="107"/>
      <c r="E13" s="142"/>
      <c r="F13" s="572"/>
      <c r="G13" s="177"/>
      <c r="H13" s="18"/>
      <c r="I13" s="177"/>
      <c r="J13" s="107"/>
      <c r="K13" s="142"/>
      <c r="L13" s="572"/>
      <c r="M13" s="177"/>
      <c r="N13" s="18"/>
      <c r="O13" s="177"/>
      <c r="P13" s="107"/>
      <c r="Q13" s="142"/>
      <c r="R13" s="572"/>
      <c r="S13" s="177"/>
      <c r="T13" s="18"/>
      <c r="U13" s="177"/>
      <c r="V13" s="107"/>
      <c r="W13" s="142"/>
      <c r="X13" s="572"/>
      <c r="Y13" s="142"/>
      <c r="Z13" s="18"/>
      <c r="AA13" s="177"/>
      <c r="AB13" s="107"/>
      <c r="AC13" s="142"/>
      <c r="AD13" s="572"/>
    </row>
    <row r="14" spans="1:30" s="7" customFormat="1" ht="11.25" x14ac:dyDescent="0.2">
      <c r="A14" s="649" t="s">
        <v>3090</v>
      </c>
      <c r="B14" s="14">
        <v>825.2</v>
      </c>
      <c r="C14" s="177"/>
      <c r="D14" s="107">
        <v>419.90000000000003</v>
      </c>
      <c r="E14" s="142"/>
      <c r="F14" s="572">
        <v>405.3</v>
      </c>
      <c r="G14" s="177"/>
      <c r="H14" s="18">
        <v>746.8</v>
      </c>
      <c r="I14" s="177"/>
      <c r="J14" s="107">
        <v>383.19999999999993</v>
      </c>
      <c r="K14" s="142"/>
      <c r="L14" s="572">
        <v>363.6</v>
      </c>
      <c r="M14" s="177"/>
      <c r="N14" s="18">
        <v>949.03961000000004</v>
      </c>
      <c r="O14" s="177"/>
      <c r="P14" s="107">
        <v>536.1</v>
      </c>
      <c r="Q14" s="142"/>
      <c r="R14" s="572">
        <v>412.9</v>
      </c>
      <c r="S14" s="177"/>
      <c r="T14" s="18">
        <v>982.7</v>
      </c>
      <c r="U14" s="177"/>
      <c r="V14" s="107">
        <v>534.20000000000005</v>
      </c>
      <c r="W14" s="142"/>
      <c r="X14" s="572">
        <v>448.5</v>
      </c>
      <c r="Y14" s="142"/>
      <c r="Z14" s="18">
        <v>667.40000000000009</v>
      </c>
      <c r="AA14" s="177"/>
      <c r="AB14" s="107">
        <v>357.59999999999997</v>
      </c>
      <c r="AC14" s="142"/>
      <c r="AD14" s="572">
        <v>309.8</v>
      </c>
    </row>
    <row r="15" spans="1:30" s="7" customFormat="1" ht="11.25" x14ac:dyDescent="0.2">
      <c r="A15" s="649" t="s">
        <v>3091</v>
      </c>
      <c r="B15" s="14">
        <v>44.7</v>
      </c>
      <c r="C15" s="177"/>
      <c r="D15" s="107">
        <v>0</v>
      </c>
      <c r="E15" s="142"/>
      <c r="F15" s="572">
        <v>44.7</v>
      </c>
      <c r="G15" s="177"/>
      <c r="H15" s="18">
        <v>161.9</v>
      </c>
      <c r="I15" s="177"/>
      <c r="J15" s="107">
        <v>73</v>
      </c>
      <c r="K15" s="142"/>
      <c r="L15" s="572">
        <v>88.9</v>
      </c>
      <c r="M15" s="177"/>
      <c r="N15" s="18">
        <v>196.46705400000002</v>
      </c>
      <c r="O15" s="177"/>
      <c r="P15" s="107">
        <v>109.8</v>
      </c>
      <c r="Q15" s="142"/>
      <c r="R15" s="572">
        <v>86.7</v>
      </c>
      <c r="S15" s="177"/>
      <c r="T15" s="18">
        <v>192.39999999999998</v>
      </c>
      <c r="U15" s="177"/>
      <c r="V15" s="107">
        <v>110.80000000000001</v>
      </c>
      <c r="W15" s="142"/>
      <c r="X15" s="572">
        <v>81.599999999999994</v>
      </c>
      <c r="Y15" s="142"/>
      <c r="Z15" s="18">
        <v>166.7</v>
      </c>
      <c r="AA15" s="177"/>
      <c r="AB15" s="107">
        <v>114.69999999999999</v>
      </c>
      <c r="AC15" s="142"/>
      <c r="AD15" s="572">
        <v>52</v>
      </c>
    </row>
    <row r="16" spans="1:30" s="7" customFormat="1" ht="11.25" x14ac:dyDescent="0.2">
      <c r="A16" s="649" t="s">
        <v>3092</v>
      </c>
      <c r="B16" s="14">
        <v>319.10000000000002</v>
      </c>
      <c r="C16" s="177"/>
      <c r="D16" s="107">
        <v>172.40000000000003</v>
      </c>
      <c r="E16" s="142"/>
      <c r="F16" s="572">
        <v>146.69999999999999</v>
      </c>
      <c r="G16" s="177"/>
      <c r="H16" s="18">
        <v>296.7</v>
      </c>
      <c r="I16" s="177"/>
      <c r="J16" s="107">
        <v>89.1</v>
      </c>
      <c r="K16" s="142"/>
      <c r="L16" s="572">
        <v>207.6</v>
      </c>
      <c r="M16" s="177"/>
      <c r="N16" s="18">
        <v>357.57788699999998</v>
      </c>
      <c r="O16" s="177"/>
      <c r="P16" s="107">
        <v>162.90000000000003</v>
      </c>
      <c r="Q16" s="142"/>
      <c r="R16" s="572">
        <v>194.7</v>
      </c>
      <c r="S16" s="177"/>
      <c r="T16" s="18">
        <v>332.6</v>
      </c>
      <c r="U16" s="177"/>
      <c r="V16" s="107">
        <v>166.60000000000002</v>
      </c>
      <c r="W16" s="142"/>
      <c r="X16" s="572">
        <v>166</v>
      </c>
      <c r="Y16" s="142"/>
      <c r="Z16" s="18">
        <v>315.79999999999995</v>
      </c>
      <c r="AA16" s="177"/>
      <c r="AB16" s="107">
        <v>162.70000000000002</v>
      </c>
      <c r="AC16" s="142"/>
      <c r="AD16" s="572">
        <v>153.1</v>
      </c>
    </row>
    <row r="17" spans="1:30" s="7" customFormat="1" ht="11.25" x14ac:dyDescent="0.2">
      <c r="A17" s="649"/>
      <c r="B17" s="18"/>
      <c r="C17" s="177"/>
      <c r="D17" s="107"/>
      <c r="E17" s="142"/>
      <c r="F17" s="572"/>
      <c r="G17" s="177"/>
      <c r="H17" s="18"/>
      <c r="I17" s="177"/>
      <c r="J17" s="107"/>
      <c r="K17" s="142"/>
      <c r="L17" s="572"/>
      <c r="M17" s="177"/>
      <c r="N17" s="18"/>
      <c r="O17" s="177"/>
      <c r="P17" s="107"/>
      <c r="Q17" s="142"/>
      <c r="R17" s="572"/>
      <c r="S17" s="177"/>
      <c r="T17" s="18"/>
      <c r="U17" s="177"/>
      <c r="V17" s="107"/>
      <c r="W17" s="142"/>
      <c r="X17" s="572"/>
      <c r="Y17" s="142"/>
      <c r="Z17" s="18"/>
      <c r="AA17" s="177"/>
      <c r="AB17" s="107"/>
      <c r="AC17" s="142"/>
      <c r="AD17" s="572"/>
    </row>
    <row r="18" spans="1:30" s="7" customFormat="1" ht="11.25" x14ac:dyDescent="0.2">
      <c r="A18" s="649" t="s">
        <v>151</v>
      </c>
      <c r="B18" s="651">
        <v>-393.6</v>
      </c>
      <c r="C18" s="652"/>
      <c r="D18" s="653">
        <v>-112.80000000000001</v>
      </c>
      <c r="E18" s="654"/>
      <c r="F18" s="655">
        <v>-280.8</v>
      </c>
      <c r="G18" s="652"/>
      <c r="H18" s="651">
        <v>-384.8</v>
      </c>
      <c r="I18" s="652"/>
      <c r="J18" s="653">
        <v>-74.199999999999989</v>
      </c>
      <c r="K18" s="654"/>
      <c r="L18" s="655">
        <v>-310.59999999999997</v>
      </c>
      <c r="M18" s="652"/>
      <c r="N18" s="651">
        <v>-334.19766000000004</v>
      </c>
      <c r="O18" s="652"/>
      <c r="P18" s="653">
        <v>-90.899999999999977</v>
      </c>
      <c r="Q18" s="654"/>
      <c r="R18" s="655">
        <v>-243.3</v>
      </c>
      <c r="S18" s="652"/>
      <c r="T18" s="651">
        <v>-433.29999999999995</v>
      </c>
      <c r="U18" s="652"/>
      <c r="V18" s="653">
        <v>-148.40000000000003</v>
      </c>
      <c r="W18" s="654"/>
      <c r="X18" s="655">
        <v>-284.89999999999998</v>
      </c>
      <c r="Y18" s="654"/>
      <c r="Z18" s="651">
        <v>-233.8</v>
      </c>
      <c r="AA18" s="652"/>
      <c r="AB18" s="653">
        <v>-83.800000000000011</v>
      </c>
      <c r="AC18" s="654"/>
      <c r="AD18" s="655">
        <v>-150</v>
      </c>
    </row>
    <row r="19" spans="1:30" s="7" customFormat="1" ht="11.25" x14ac:dyDescent="0.2">
      <c r="A19" s="656" t="s">
        <v>3095</v>
      </c>
      <c r="B19" s="651">
        <v>2703.7</v>
      </c>
      <c r="C19" s="652"/>
      <c r="D19" s="653">
        <v>1627.1999999999998</v>
      </c>
      <c r="E19" s="654"/>
      <c r="F19" s="655">
        <v>1076.5000000000002</v>
      </c>
      <c r="G19" s="652"/>
      <c r="H19" s="651">
        <v>2575.9</v>
      </c>
      <c r="I19" s="652"/>
      <c r="J19" s="653">
        <v>1478.2</v>
      </c>
      <c r="K19" s="654"/>
      <c r="L19" s="655">
        <v>1097.7000000000003</v>
      </c>
      <c r="M19" s="652"/>
      <c r="N19" s="651">
        <v>3220.121247</v>
      </c>
      <c r="O19" s="652"/>
      <c r="P19" s="653">
        <v>1963.1999999999998</v>
      </c>
      <c r="Q19" s="654"/>
      <c r="R19" s="655">
        <v>1256.9000000000001</v>
      </c>
      <c r="S19" s="652"/>
      <c r="T19" s="651">
        <v>3135.8999999999996</v>
      </c>
      <c r="U19" s="652"/>
      <c r="V19" s="653">
        <v>1874</v>
      </c>
      <c r="W19" s="654"/>
      <c r="X19" s="655">
        <v>1261.8999999999996</v>
      </c>
      <c r="Y19" s="654"/>
      <c r="Z19" s="651">
        <v>2752.3999999999996</v>
      </c>
      <c r="AA19" s="652"/>
      <c r="AB19" s="653">
        <v>1731.6000000000001</v>
      </c>
      <c r="AC19" s="654"/>
      <c r="AD19" s="655">
        <v>1020.8</v>
      </c>
    </row>
    <row r="20" spans="1:30" s="7" customFormat="1" ht="11.25" x14ac:dyDescent="0.2">
      <c r="A20" s="656"/>
      <c r="B20" s="18"/>
      <c r="C20" s="177"/>
      <c r="D20" s="107"/>
      <c r="E20" s="142"/>
      <c r="F20" s="572"/>
      <c r="G20" s="177"/>
      <c r="H20" s="18"/>
      <c r="I20" s="177"/>
      <c r="J20" s="107"/>
      <c r="K20" s="142"/>
      <c r="L20" s="572"/>
      <c r="M20" s="177"/>
      <c r="N20" s="18"/>
      <c r="O20" s="177"/>
      <c r="P20" s="107"/>
      <c r="Q20" s="142"/>
      <c r="R20" s="572"/>
      <c r="S20" s="177"/>
      <c r="T20" s="18"/>
      <c r="U20" s="177"/>
      <c r="V20" s="107"/>
      <c r="W20" s="142"/>
      <c r="X20" s="572"/>
      <c r="Y20" s="142"/>
      <c r="Z20" s="18"/>
      <c r="AA20" s="177"/>
      <c r="AB20" s="107"/>
      <c r="AC20" s="142"/>
      <c r="AD20" s="572"/>
    </row>
    <row r="21" spans="1:30" s="7" customFormat="1" ht="11.25" x14ac:dyDescent="0.2">
      <c r="A21" s="649" t="s">
        <v>3098</v>
      </c>
      <c r="B21" s="18">
        <v>118.6</v>
      </c>
      <c r="C21" s="177"/>
      <c r="D21" s="107">
        <v>74.8</v>
      </c>
      <c r="E21" s="142"/>
      <c r="F21" s="572">
        <v>43.8</v>
      </c>
      <c r="G21" s="177"/>
      <c r="H21" s="18">
        <v>95.2</v>
      </c>
      <c r="I21" s="177"/>
      <c r="J21" s="107">
        <v>65</v>
      </c>
      <c r="K21" s="142"/>
      <c r="L21" s="572">
        <v>30.2</v>
      </c>
      <c r="M21" s="177"/>
      <c r="N21" s="18">
        <v>326.2</v>
      </c>
      <c r="O21" s="177"/>
      <c r="P21" s="107">
        <v>247</v>
      </c>
      <c r="Q21" s="142"/>
      <c r="R21" s="572">
        <v>79.2</v>
      </c>
      <c r="S21" s="177"/>
      <c r="T21" s="18">
        <v>439.6</v>
      </c>
      <c r="U21" s="177"/>
      <c r="V21" s="107">
        <v>363.6</v>
      </c>
      <c r="W21" s="142"/>
      <c r="X21" s="572">
        <v>76</v>
      </c>
      <c r="Y21" s="142"/>
      <c r="Z21" s="18">
        <v>625.6</v>
      </c>
      <c r="AA21" s="177"/>
      <c r="AB21" s="107">
        <v>360.20000000000005</v>
      </c>
      <c r="AC21" s="142"/>
      <c r="AD21" s="572">
        <v>265.39999999999998</v>
      </c>
    </row>
    <row r="22" spans="1:30" s="7" customFormat="1" ht="11.25" x14ac:dyDescent="0.2">
      <c r="A22" s="649"/>
      <c r="B22" s="18"/>
      <c r="C22" s="177"/>
      <c r="D22" s="107"/>
      <c r="E22" s="142"/>
      <c r="F22" s="572"/>
      <c r="G22" s="177"/>
      <c r="H22" s="18"/>
      <c r="I22" s="177"/>
      <c r="J22" s="107"/>
      <c r="K22" s="142"/>
      <c r="L22" s="572"/>
      <c r="M22" s="177"/>
      <c r="N22" s="18"/>
      <c r="O22" s="177"/>
      <c r="P22" s="107"/>
      <c r="Q22" s="142"/>
      <c r="R22" s="572"/>
      <c r="S22" s="177"/>
      <c r="T22" s="18"/>
      <c r="U22" s="177"/>
      <c r="V22" s="107"/>
      <c r="W22" s="142"/>
      <c r="X22" s="572"/>
      <c r="Y22" s="142"/>
      <c r="Z22" s="18"/>
      <c r="AA22" s="177"/>
      <c r="AB22" s="107"/>
      <c r="AC22" s="142"/>
      <c r="AD22" s="572"/>
    </row>
    <row r="23" spans="1:30" s="7" customFormat="1" ht="11.25" x14ac:dyDescent="0.2">
      <c r="A23" s="142"/>
      <c r="B23" s="574"/>
      <c r="C23" s="142"/>
      <c r="D23" s="142"/>
      <c r="E23" s="142"/>
      <c r="F23" s="666"/>
      <c r="G23" s="142"/>
      <c r="H23" s="574"/>
      <c r="I23" s="142"/>
      <c r="J23" s="142"/>
      <c r="K23" s="142"/>
      <c r="L23" s="666"/>
      <c r="M23" s="142"/>
      <c r="N23" s="574"/>
      <c r="O23" s="142"/>
      <c r="P23" s="142"/>
      <c r="Q23" s="142"/>
      <c r="R23" s="666"/>
      <c r="S23" s="142"/>
      <c r="T23" s="574"/>
      <c r="U23" s="142"/>
      <c r="V23" s="142"/>
      <c r="W23" s="142"/>
      <c r="X23" s="576"/>
      <c r="Y23" s="577"/>
      <c r="Z23" s="574"/>
      <c r="AA23" s="142"/>
      <c r="AB23" s="142"/>
      <c r="AC23" s="142"/>
      <c r="AD23" s="576"/>
    </row>
    <row r="24" spans="1:30" s="24" customFormat="1" ht="11.25" x14ac:dyDescent="0.2">
      <c r="A24" s="149"/>
      <c r="B24" s="591" t="s">
        <v>3075</v>
      </c>
      <c r="C24" s="149"/>
      <c r="D24" s="589" t="s">
        <v>3075</v>
      </c>
      <c r="E24" s="149"/>
      <c r="F24" s="667" t="s">
        <v>3075</v>
      </c>
      <c r="G24" s="149"/>
      <c r="H24" s="591" t="s">
        <v>3075</v>
      </c>
      <c r="I24" s="149"/>
      <c r="J24" s="589" t="s">
        <v>3075</v>
      </c>
      <c r="K24" s="149"/>
      <c r="L24" s="667" t="s">
        <v>3075</v>
      </c>
      <c r="M24" s="149"/>
      <c r="N24" s="591" t="s">
        <v>3075</v>
      </c>
      <c r="O24" s="149"/>
      <c r="P24" s="589" t="s">
        <v>3075</v>
      </c>
      <c r="Q24" s="149"/>
      <c r="R24" s="667" t="s">
        <v>3075</v>
      </c>
      <c r="S24" s="149"/>
      <c r="T24" s="591" t="s">
        <v>3075</v>
      </c>
      <c r="U24" s="149"/>
      <c r="V24" s="589" t="s">
        <v>3075</v>
      </c>
      <c r="W24" s="149"/>
      <c r="X24" s="589" t="s">
        <v>3075</v>
      </c>
      <c r="Y24" s="590"/>
      <c r="Z24" s="591" t="s">
        <v>3075</v>
      </c>
      <c r="AA24" s="149"/>
      <c r="AB24" s="589" t="s">
        <v>3075</v>
      </c>
      <c r="AC24" s="149"/>
      <c r="AD24" s="589" t="s">
        <v>3075</v>
      </c>
    </row>
    <row r="25" spans="1:30" s="7" customFormat="1" ht="11.25" x14ac:dyDescent="0.2">
      <c r="A25" s="142"/>
      <c r="B25" s="574"/>
      <c r="C25" s="142"/>
      <c r="D25" s="657"/>
      <c r="E25" s="142"/>
      <c r="F25" s="668"/>
      <c r="G25" s="142"/>
      <c r="H25" s="574"/>
      <c r="I25" s="142"/>
      <c r="J25" s="657"/>
      <c r="K25" s="142"/>
      <c r="L25" s="668"/>
      <c r="M25" s="142"/>
      <c r="N25" s="574"/>
      <c r="O25" s="142"/>
      <c r="P25" s="657"/>
      <c r="Q25" s="142"/>
      <c r="R25" s="668"/>
      <c r="S25" s="142"/>
      <c r="T25" s="574"/>
      <c r="U25" s="142"/>
      <c r="V25" s="657"/>
      <c r="W25" s="142"/>
      <c r="X25" s="658"/>
      <c r="Y25" s="579"/>
      <c r="Z25" s="574"/>
      <c r="AA25" s="142"/>
      <c r="AB25" s="142"/>
      <c r="AC25" s="142"/>
      <c r="AD25" s="578"/>
    </row>
    <row r="26" spans="1:30" s="7" customFormat="1" ht="11.25" x14ac:dyDescent="0.2">
      <c r="A26" s="149" t="s">
        <v>12</v>
      </c>
      <c r="B26" s="18"/>
      <c r="C26" s="107"/>
      <c r="D26" s="107"/>
      <c r="E26" s="149"/>
      <c r="F26" s="572"/>
      <c r="G26" s="107"/>
      <c r="H26" s="18"/>
      <c r="I26" s="107"/>
      <c r="J26" s="107"/>
      <c r="K26" s="149"/>
      <c r="L26" s="572"/>
      <c r="M26" s="107"/>
      <c r="N26" s="18"/>
      <c r="O26" s="107"/>
      <c r="P26" s="107"/>
      <c r="Q26" s="149"/>
      <c r="R26" s="572"/>
      <c r="S26" s="107"/>
      <c r="T26" s="18"/>
      <c r="U26" s="107"/>
      <c r="V26" s="107"/>
      <c r="W26" s="149"/>
      <c r="X26" s="107"/>
      <c r="Y26" s="149"/>
      <c r="Z26" s="18"/>
      <c r="AA26" s="107"/>
      <c r="AB26" s="107"/>
      <c r="AC26" s="149"/>
      <c r="AD26" s="107"/>
    </row>
    <row r="27" spans="1:30" s="7" customFormat="1" ht="11.25" x14ac:dyDescent="0.2">
      <c r="A27" s="659" t="s">
        <v>3085</v>
      </c>
      <c r="B27" s="18">
        <v>648.79999999999995</v>
      </c>
      <c r="C27" s="107">
        <v>0</v>
      </c>
      <c r="D27" s="107">
        <v>317.99999999999994</v>
      </c>
      <c r="E27" s="149"/>
      <c r="F27" s="107">
        <v>330.8</v>
      </c>
      <c r="G27" s="107">
        <v>0</v>
      </c>
      <c r="H27" s="18">
        <v>991.3</v>
      </c>
      <c r="I27" s="107">
        <v>0</v>
      </c>
      <c r="J27" s="107">
        <v>656.9</v>
      </c>
      <c r="K27" s="149"/>
      <c r="L27" s="107">
        <v>334.4</v>
      </c>
      <c r="M27" s="107">
        <v>0</v>
      </c>
      <c r="N27" s="18">
        <v>836.4</v>
      </c>
      <c r="O27" s="107">
        <v>0</v>
      </c>
      <c r="P27" s="107">
        <v>593.60000000000014</v>
      </c>
      <c r="Q27" s="149"/>
      <c r="R27" s="572">
        <v>242.8</v>
      </c>
      <c r="S27" s="107">
        <v>0</v>
      </c>
      <c r="T27" s="18">
        <v>554.4</v>
      </c>
      <c r="U27" s="107">
        <v>0</v>
      </c>
      <c r="V27" s="107">
        <v>341.30000000000007</v>
      </c>
      <c r="W27" s="149"/>
      <c r="X27" s="107">
        <v>213.09999999999997</v>
      </c>
      <c r="Y27" s="149">
        <v>0</v>
      </c>
      <c r="Z27" s="18">
        <v>510.50000000000006</v>
      </c>
      <c r="AA27" s="107">
        <v>0</v>
      </c>
      <c r="AB27" s="107">
        <v>306.49999999999994</v>
      </c>
      <c r="AC27" s="149">
        <v>0</v>
      </c>
      <c r="AD27" s="107">
        <v>204</v>
      </c>
    </row>
    <row r="28" spans="1:30" s="7" customFormat="1" ht="11.25" x14ac:dyDescent="0.2">
      <c r="A28" s="659" t="s">
        <v>3086</v>
      </c>
      <c r="B28" s="18">
        <v>1554.6</v>
      </c>
      <c r="C28" s="107"/>
      <c r="D28" s="107">
        <v>848.59999999999991</v>
      </c>
      <c r="E28" s="149"/>
      <c r="F28" s="107">
        <v>706</v>
      </c>
      <c r="G28" s="107"/>
      <c r="H28" s="18">
        <v>1656.5</v>
      </c>
      <c r="I28" s="107"/>
      <c r="J28" s="107">
        <v>1028</v>
      </c>
      <c r="K28" s="149"/>
      <c r="L28" s="107">
        <v>628.5</v>
      </c>
      <c r="M28" s="107"/>
      <c r="N28" s="18">
        <v>1058.2453731286512</v>
      </c>
      <c r="O28" s="107"/>
      <c r="P28" s="107">
        <v>672.7</v>
      </c>
      <c r="Q28" s="149"/>
      <c r="R28" s="572">
        <v>385.5</v>
      </c>
      <c r="S28" s="107"/>
      <c r="T28" s="18">
        <v>947.6</v>
      </c>
      <c r="U28" s="107"/>
      <c r="V28" s="107">
        <v>544.20000000000005</v>
      </c>
      <c r="W28" s="149"/>
      <c r="X28" s="107">
        <v>403.4</v>
      </c>
      <c r="Y28" s="149"/>
      <c r="Z28" s="18">
        <v>908.9</v>
      </c>
      <c r="AA28" s="107"/>
      <c r="AB28" s="107">
        <v>559.9</v>
      </c>
      <c r="AC28" s="149"/>
      <c r="AD28" s="107">
        <v>349</v>
      </c>
    </row>
    <row r="29" spans="1:30" s="7" customFormat="1" ht="11.25" x14ac:dyDescent="0.2">
      <c r="A29" s="650" t="s">
        <v>3087</v>
      </c>
      <c r="B29" s="621">
        <v>2203.3999999999996</v>
      </c>
      <c r="C29" s="108"/>
      <c r="D29" s="108">
        <v>1166.6000000000001</v>
      </c>
      <c r="E29" s="108"/>
      <c r="F29" s="645">
        <v>1036.8</v>
      </c>
      <c r="G29" s="108"/>
      <c r="H29" s="621">
        <v>2647.8</v>
      </c>
      <c r="I29" s="108"/>
      <c r="J29" s="108">
        <v>1684.9</v>
      </c>
      <c r="K29" s="108"/>
      <c r="L29" s="645">
        <v>962.9</v>
      </c>
      <c r="M29" s="108"/>
      <c r="N29" s="621">
        <v>1894.645373128651</v>
      </c>
      <c r="O29" s="108"/>
      <c r="P29" s="108">
        <v>1266.3</v>
      </c>
      <c r="Q29" s="108"/>
      <c r="R29" s="645">
        <v>628.29999999999995</v>
      </c>
      <c r="S29" s="108"/>
      <c r="T29" s="621">
        <v>1502</v>
      </c>
      <c r="U29" s="108"/>
      <c r="V29" s="108">
        <v>885.5</v>
      </c>
      <c r="W29" s="108"/>
      <c r="X29" s="108">
        <v>616.5</v>
      </c>
      <c r="Y29" s="108"/>
      <c r="Z29" s="621">
        <v>1419.4</v>
      </c>
      <c r="AA29" s="108"/>
      <c r="AB29" s="108">
        <v>866.40000000000009</v>
      </c>
      <c r="AC29" s="108"/>
      <c r="AD29" s="108">
        <v>553</v>
      </c>
    </row>
    <row r="30" spans="1:30" s="7" customFormat="1" ht="11.25" x14ac:dyDescent="0.2">
      <c r="A30" s="142" t="s">
        <v>26</v>
      </c>
      <c r="B30" s="620">
        <v>1500.6</v>
      </c>
      <c r="C30" s="107"/>
      <c r="D30" s="107">
        <v>752.09999999999991</v>
      </c>
      <c r="E30" s="107"/>
      <c r="F30" s="572">
        <v>748.5</v>
      </c>
      <c r="G30" s="107"/>
      <c r="H30" s="620">
        <v>1200.4000000000001</v>
      </c>
      <c r="I30" s="107"/>
      <c r="J30" s="107">
        <v>683.40000000000009</v>
      </c>
      <c r="K30" s="107"/>
      <c r="L30" s="572">
        <v>517</v>
      </c>
      <c r="M30" s="107"/>
      <c r="N30" s="620">
        <v>937.77598847045806</v>
      </c>
      <c r="O30" s="107"/>
      <c r="P30" s="107">
        <v>481.99999999999994</v>
      </c>
      <c r="Q30" s="107"/>
      <c r="R30" s="572">
        <v>455.82094746739295</v>
      </c>
      <c r="S30" s="107"/>
      <c r="T30" s="620">
        <v>999.21100359121397</v>
      </c>
      <c r="U30" s="107"/>
      <c r="V30" s="107">
        <v>507.30000000000007</v>
      </c>
      <c r="W30" s="107"/>
      <c r="X30" s="107">
        <v>491.88006452019999</v>
      </c>
      <c r="Y30" s="107"/>
      <c r="Z30" s="620">
        <v>990.659693506503</v>
      </c>
      <c r="AA30" s="107"/>
      <c r="AB30" s="107">
        <v>520.20000000000005</v>
      </c>
      <c r="AC30" s="107"/>
      <c r="AD30" s="107">
        <v>470.46338002613197</v>
      </c>
    </row>
    <row r="31" spans="1:30" s="7" customFormat="1" ht="11.25" x14ac:dyDescent="0.2">
      <c r="A31" s="142" t="s">
        <v>230</v>
      </c>
      <c r="B31" s="622">
        <v>-22.2</v>
      </c>
      <c r="C31" s="107"/>
      <c r="D31" s="107">
        <v>-6.1999999999999993</v>
      </c>
      <c r="E31" s="107"/>
      <c r="F31" s="572">
        <v>-16</v>
      </c>
      <c r="G31" s="107"/>
      <c r="H31" s="622">
        <v>-27.8</v>
      </c>
      <c r="I31" s="107"/>
      <c r="J31" s="107">
        <v>-16.399999999999999</v>
      </c>
      <c r="K31" s="107"/>
      <c r="L31" s="572">
        <v>-11.4</v>
      </c>
      <c r="M31" s="107"/>
      <c r="N31" s="622">
        <v>-25.756798889999999</v>
      </c>
      <c r="O31" s="107"/>
      <c r="P31" s="107">
        <v>-16.600000000000001</v>
      </c>
      <c r="Q31" s="107"/>
      <c r="R31" s="572">
        <v>-9.2064393100000004</v>
      </c>
      <c r="S31" s="107"/>
      <c r="T31" s="622">
        <v>-18.451909730222603</v>
      </c>
      <c r="U31" s="107"/>
      <c r="V31" s="107">
        <v>-11.4</v>
      </c>
      <c r="W31" s="107"/>
      <c r="X31" s="107">
        <v>-7.0860982999999997</v>
      </c>
      <c r="Y31" s="107"/>
      <c r="Z31" s="622">
        <v>-13.40825216</v>
      </c>
      <c r="AA31" s="107"/>
      <c r="AB31" s="107">
        <v>-10.4</v>
      </c>
      <c r="AC31" s="107"/>
      <c r="AD31" s="107">
        <v>-3.0186648799999998</v>
      </c>
    </row>
    <row r="32" spans="1:30" s="7" customFormat="1" ht="11.25" x14ac:dyDescent="0.2">
      <c r="A32" s="544" t="s">
        <v>3056</v>
      </c>
      <c r="B32" s="31">
        <v>3681.8</v>
      </c>
      <c r="C32" s="108"/>
      <c r="D32" s="108">
        <v>1912.4999999999998</v>
      </c>
      <c r="E32" s="108"/>
      <c r="F32" s="645">
        <v>1769.3</v>
      </c>
      <c r="G32" s="108"/>
      <c r="H32" s="31">
        <v>3820.4</v>
      </c>
      <c r="I32" s="108"/>
      <c r="J32" s="108">
        <v>2351.9</v>
      </c>
      <c r="K32" s="108"/>
      <c r="L32" s="645">
        <v>1468.5</v>
      </c>
      <c r="M32" s="108"/>
      <c r="N32" s="31">
        <v>2806.5999999999995</v>
      </c>
      <c r="O32" s="108"/>
      <c r="P32" s="108">
        <v>1731.7</v>
      </c>
      <c r="Q32" s="108"/>
      <c r="R32" s="645">
        <v>1074.8999999999999</v>
      </c>
      <c r="S32" s="108"/>
      <c r="T32" s="621">
        <v>2482.6999999999998</v>
      </c>
      <c r="U32" s="108"/>
      <c r="V32" s="108">
        <v>1381.3999999999999</v>
      </c>
      <c r="W32" s="108"/>
      <c r="X32" s="108">
        <v>1101.3000000000002</v>
      </c>
      <c r="Y32" s="108"/>
      <c r="Z32" s="621">
        <v>2396.7000000000003</v>
      </c>
      <c r="AA32" s="108"/>
      <c r="AB32" s="108">
        <v>1376.1999999999998</v>
      </c>
      <c r="AC32" s="108"/>
      <c r="AD32" s="108">
        <v>1020.5</v>
      </c>
    </row>
    <row r="33" spans="1:30" s="7" customFormat="1" ht="11.25" x14ac:dyDescent="0.2">
      <c r="A33" s="150"/>
      <c r="B33" s="18"/>
      <c r="C33" s="107"/>
      <c r="D33" s="107"/>
      <c r="E33" s="107"/>
      <c r="F33" s="572"/>
      <c r="G33" s="107"/>
      <c r="H33" s="18"/>
      <c r="I33" s="107"/>
      <c r="J33" s="107"/>
      <c r="K33" s="107"/>
      <c r="L33" s="572"/>
      <c r="M33" s="107"/>
      <c r="N33" s="18"/>
      <c r="O33" s="107"/>
      <c r="P33" s="107"/>
      <c r="Q33" s="107"/>
      <c r="R33" s="572"/>
      <c r="S33" s="107"/>
      <c r="T33" s="18"/>
      <c r="U33" s="107"/>
      <c r="V33" s="107"/>
      <c r="W33" s="107"/>
      <c r="X33" s="107"/>
      <c r="Y33" s="107"/>
      <c r="Z33" s="18"/>
      <c r="AA33" s="107"/>
      <c r="AB33" s="107"/>
      <c r="AC33" s="107"/>
      <c r="AD33" s="107"/>
    </row>
    <row r="34" spans="1:30" s="7" customFormat="1" ht="11.25" x14ac:dyDescent="0.2">
      <c r="A34" s="142" t="s">
        <v>3074</v>
      </c>
      <c r="B34" s="18">
        <v>1776.2</v>
      </c>
      <c r="C34" s="107"/>
      <c r="D34" s="107">
        <v>910.90000000000009</v>
      </c>
      <c r="E34" s="107"/>
      <c r="F34" s="572">
        <v>865.3</v>
      </c>
      <c r="G34" s="107"/>
      <c r="H34" s="18">
        <v>1739.2</v>
      </c>
      <c r="I34" s="107"/>
      <c r="J34" s="107">
        <v>970.3</v>
      </c>
      <c r="K34" s="107"/>
      <c r="L34" s="572">
        <v>768.90000000000009</v>
      </c>
      <c r="M34" s="107"/>
      <c r="N34" s="18">
        <v>1354.2875083648998</v>
      </c>
      <c r="O34" s="107"/>
      <c r="P34" s="107">
        <v>745.1</v>
      </c>
      <c r="Q34" s="107"/>
      <c r="R34" s="572">
        <v>609.15583675702101</v>
      </c>
      <c r="S34" s="107"/>
      <c r="T34" s="18">
        <v>1322.0308954475699</v>
      </c>
      <c r="U34" s="107"/>
      <c r="V34" s="107">
        <v>648.90000000000009</v>
      </c>
      <c r="W34" s="107"/>
      <c r="X34" s="107">
        <v>673.10938775786292</v>
      </c>
      <c r="Y34" s="107"/>
      <c r="Z34" s="18">
        <v>1360.17226433272</v>
      </c>
      <c r="AA34" s="107"/>
      <c r="AB34" s="107">
        <v>737.8</v>
      </c>
      <c r="AC34" s="107"/>
      <c r="AD34" s="107">
        <v>622.424841825557</v>
      </c>
    </row>
    <row r="35" spans="1:30" s="7" customFormat="1" ht="11.25" x14ac:dyDescent="0.2">
      <c r="A35" s="142" t="s">
        <v>3057</v>
      </c>
      <c r="B35" s="18">
        <v>-54.5</v>
      </c>
      <c r="C35" s="107"/>
      <c r="D35" s="107">
        <v>-26.5</v>
      </c>
      <c r="E35" s="142"/>
      <c r="F35" s="572">
        <v>-28</v>
      </c>
      <c r="G35" s="107"/>
      <c r="H35" s="18">
        <v>-38</v>
      </c>
      <c r="I35" s="107"/>
      <c r="J35" s="107">
        <v>-19.600000000000001</v>
      </c>
      <c r="K35" s="142"/>
      <c r="L35" s="572">
        <v>-18.399999999999999</v>
      </c>
      <c r="M35" s="107"/>
      <c r="N35" s="18">
        <v>-46.8</v>
      </c>
      <c r="O35" s="107"/>
      <c r="P35" s="107">
        <v>-24.9</v>
      </c>
      <c r="Q35" s="142"/>
      <c r="R35" s="572">
        <v>-21.85459745264647</v>
      </c>
      <c r="S35" s="107"/>
      <c r="T35" s="18">
        <v>-47</v>
      </c>
      <c r="U35" s="107"/>
      <c r="V35" s="107">
        <v>-24.8</v>
      </c>
      <c r="W35" s="142"/>
      <c r="X35" s="107">
        <v>-22.184847046760282</v>
      </c>
      <c r="Y35" s="142"/>
      <c r="Z35" s="18">
        <v>-47.5</v>
      </c>
      <c r="AA35" s="107"/>
      <c r="AB35" s="107">
        <v>-24.4</v>
      </c>
      <c r="AC35" s="142"/>
      <c r="AD35" s="107">
        <v>-23.077150879414088</v>
      </c>
    </row>
    <row r="36" spans="1:30" s="569" customFormat="1" ht="10.5" x14ac:dyDescent="0.2">
      <c r="A36" s="569" t="s">
        <v>3105</v>
      </c>
      <c r="B36" s="542">
        <v>5403.5</v>
      </c>
      <c r="C36" s="541"/>
      <c r="D36" s="541">
        <v>2796.9</v>
      </c>
      <c r="E36" s="541"/>
      <c r="F36" s="663">
        <v>2606.6</v>
      </c>
      <c r="G36" s="541"/>
      <c r="H36" s="542">
        <v>5521.6</v>
      </c>
      <c r="I36" s="541"/>
      <c r="J36" s="541">
        <v>3302.6</v>
      </c>
      <c r="K36" s="541"/>
      <c r="L36" s="663">
        <v>2219</v>
      </c>
      <c r="M36" s="541"/>
      <c r="N36" s="542">
        <v>4114.1000000000004</v>
      </c>
      <c r="O36" s="541"/>
      <c r="P36" s="541">
        <v>2451.9</v>
      </c>
      <c r="Q36" s="541"/>
      <c r="R36" s="663">
        <v>1662.1999999999998</v>
      </c>
      <c r="S36" s="541"/>
      <c r="T36" s="542">
        <v>3757.6829599822399</v>
      </c>
      <c r="U36" s="541"/>
      <c r="V36" s="541">
        <v>2005.5000000000002</v>
      </c>
      <c r="W36" s="541"/>
      <c r="X36" s="541">
        <v>1752.2245407111</v>
      </c>
      <c r="Y36" s="541"/>
      <c r="Z36" s="542">
        <v>3709.3999999999996</v>
      </c>
      <c r="AA36" s="541"/>
      <c r="AB36" s="541">
        <v>2089.6</v>
      </c>
      <c r="AC36" s="541"/>
      <c r="AD36" s="541">
        <v>1619.8</v>
      </c>
    </row>
    <row r="37" spans="1:30" s="7" customFormat="1" ht="11.25" x14ac:dyDescent="0.2">
      <c r="A37" s="142" t="s">
        <v>3103</v>
      </c>
      <c r="B37" s="622">
        <v>604.6</v>
      </c>
      <c r="C37" s="107"/>
      <c r="D37" s="107">
        <v>156.10000000000002</v>
      </c>
      <c r="E37" s="107"/>
      <c r="F37" s="572">
        <v>448.5</v>
      </c>
      <c r="G37" s="107"/>
      <c r="H37" s="622">
        <v>793.7</v>
      </c>
      <c r="I37" s="107"/>
      <c r="J37" s="107">
        <v>464.40000000000003</v>
      </c>
      <c r="K37" s="107"/>
      <c r="L37" s="572">
        <v>329.3</v>
      </c>
      <c r="M37" s="107"/>
      <c r="N37" s="622">
        <v>234.4</v>
      </c>
      <c r="O37" s="107"/>
      <c r="P37" s="107">
        <v>172.5</v>
      </c>
      <c r="Q37" s="107"/>
      <c r="R37" s="572">
        <v>61.9</v>
      </c>
      <c r="S37" s="107"/>
      <c r="T37" s="622">
        <v>184.5</v>
      </c>
      <c r="U37" s="107"/>
      <c r="V37" s="107">
        <v>88.8</v>
      </c>
      <c r="W37" s="107"/>
      <c r="X37" s="107">
        <v>95.7</v>
      </c>
      <c r="Y37" s="107"/>
      <c r="Z37" s="622">
        <v>208.8</v>
      </c>
      <c r="AA37" s="107"/>
      <c r="AB37" s="107">
        <v>86.300000000000011</v>
      </c>
      <c r="AC37" s="107"/>
      <c r="AD37" s="107">
        <v>122.5</v>
      </c>
    </row>
    <row r="38" spans="1:30" s="569" customFormat="1" ht="10.5" x14ac:dyDescent="0.2">
      <c r="A38" s="569" t="s">
        <v>3104</v>
      </c>
      <c r="B38" s="542">
        <v>6008.1</v>
      </c>
      <c r="C38" s="541"/>
      <c r="D38" s="541">
        <v>2953.0000000000005</v>
      </c>
      <c r="E38" s="541"/>
      <c r="F38" s="663">
        <v>3055.1</v>
      </c>
      <c r="G38" s="541"/>
      <c r="H38" s="542">
        <v>6315.3</v>
      </c>
      <c r="I38" s="541">
        <v>0</v>
      </c>
      <c r="J38" s="541">
        <v>3767</v>
      </c>
      <c r="K38" s="541">
        <v>0</v>
      </c>
      <c r="L38" s="663">
        <v>2548.3000000000002</v>
      </c>
      <c r="M38" s="541">
        <v>0</v>
      </c>
      <c r="N38" s="542">
        <v>4348.5</v>
      </c>
      <c r="O38" s="541">
        <v>0</v>
      </c>
      <c r="P38" s="541">
        <v>2624.4</v>
      </c>
      <c r="Q38" s="541">
        <v>0</v>
      </c>
      <c r="R38" s="663">
        <v>1724.1000000000001</v>
      </c>
      <c r="S38" s="541">
        <v>0</v>
      </c>
      <c r="T38" s="542">
        <v>3942.2</v>
      </c>
      <c r="U38" s="541">
        <v>0</v>
      </c>
      <c r="V38" s="541">
        <v>2094.3000000000002</v>
      </c>
      <c r="W38" s="541">
        <v>0</v>
      </c>
      <c r="X38" s="541">
        <v>1847.9</v>
      </c>
      <c r="Y38" s="541">
        <v>0</v>
      </c>
      <c r="Z38" s="542">
        <v>3918.2000000000003</v>
      </c>
      <c r="AA38" s="541">
        <v>0</v>
      </c>
      <c r="AB38" s="541">
        <v>2175.9</v>
      </c>
      <c r="AC38" s="541">
        <v>0</v>
      </c>
      <c r="AD38" s="541">
        <v>1742.3</v>
      </c>
    </row>
    <row r="39" spans="1:30" s="7" customFormat="1" ht="11.25" x14ac:dyDescent="0.2">
      <c r="A39" s="142"/>
      <c r="B39" s="18"/>
      <c r="C39" s="107"/>
      <c r="D39" s="107"/>
      <c r="E39" s="107"/>
      <c r="F39" s="572"/>
      <c r="G39" s="107"/>
      <c r="H39" s="18"/>
      <c r="I39" s="107"/>
      <c r="J39" s="107"/>
      <c r="K39" s="107"/>
      <c r="L39" s="572"/>
      <c r="M39" s="107"/>
      <c r="N39" s="18"/>
      <c r="O39" s="107"/>
      <c r="P39" s="107"/>
      <c r="Q39" s="107"/>
      <c r="R39" s="572"/>
      <c r="S39" s="107"/>
      <c r="T39" s="18"/>
      <c r="U39" s="107"/>
      <c r="V39" s="107"/>
      <c r="W39" s="107"/>
      <c r="X39" s="107"/>
      <c r="Y39" s="107"/>
      <c r="Z39" s="18"/>
      <c r="AA39" s="107"/>
      <c r="AB39" s="107"/>
      <c r="AC39" s="107"/>
      <c r="AD39" s="107"/>
    </row>
    <row r="40" spans="1:30" s="7" customFormat="1" ht="11.25" x14ac:dyDescent="0.2">
      <c r="A40" s="149" t="s">
        <v>14</v>
      </c>
      <c r="B40" s="18"/>
      <c r="C40" s="107"/>
      <c r="D40" s="107"/>
      <c r="E40" s="107"/>
      <c r="F40" s="572"/>
      <c r="G40" s="107"/>
      <c r="H40" s="18"/>
      <c r="I40" s="107"/>
      <c r="J40" s="107"/>
      <c r="K40" s="107"/>
      <c r="L40" s="572"/>
      <c r="M40" s="107"/>
      <c r="N40" s="18"/>
      <c r="O40" s="107"/>
      <c r="P40" s="107"/>
      <c r="Q40" s="107"/>
      <c r="R40" s="572"/>
      <c r="S40" s="107"/>
      <c r="T40" s="18"/>
      <c r="U40" s="107"/>
      <c r="V40" s="107"/>
      <c r="W40" s="107"/>
      <c r="X40" s="107"/>
      <c r="Y40" s="107"/>
      <c r="Z40" s="18"/>
      <c r="AA40" s="107"/>
      <c r="AB40" s="107"/>
      <c r="AC40" s="107"/>
      <c r="AD40" s="107"/>
    </row>
    <row r="41" spans="1:30" s="7" customFormat="1" ht="11.25" x14ac:dyDescent="0.2">
      <c r="A41" s="142" t="s">
        <v>346</v>
      </c>
      <c r="B41" s="27">
        <v>3345.8</v>
      </c>
      <c r="C41" s="107"/>
      <c r="D41" s="107">
        <v>1747.4</v>
      </c>
      <c r="E41" s="107"/>
      <c r="F41" s="572">
        <v>1598.4</v>
      </c>
      <c r="G41" s="107"/>
      <c r="H41" s="27">
        <v>3639</v>
      </c>
      <c r="I41" s="107"/>
      <c r="J41" s="107">
        <v>2219.9</v>
      </c>
      <c r="K41" s="107"/>
      <c r="L41" s="572">
        <v>1419.1</v>
      </c>
      <c r="M41" s="107"/>
      <c r="N41" s="27">
        <v>2739.7491081859803</v>
      </c>
      <c r="O41" s="107"/>
      <c r="P41" s="107">
        <v>1696.6999999999998</v>
      </c>
      <c r="Q41" s="107"/>
      <c r="R41" s="572">
        <v>1043.0110700498135</v>
      </c>
      <c r="S41" s="107"/>
      <c r="T41" s="27">
        <v>2399.0072473538912</v>
      </c>
      <c r="U41" s="107"/>
      <c r="V41" s="107">
        <v>1342.5</v>
      </c>
      <c r="W41" s="107"/>
      <c r="X41" s="13">
        <v>1056.5</v>
      </c>
      <c r="Y41" s="107"/>
      <c r="Z41" s="27">
        <v>2304.7579621675472</v>
      </c>
      <c r="AA41" s="107"/>
      <c r="AB41" s="107">
        <v>1329.1000000000001</v>
      </c>
      <c r="AC41" s="107"/>
      <c r="AD41" s="13">
        <v>975.71174651715171</v>
      </c>
    </row>
    <row r="42" spans="1:30" s="7" customFormat="1" ht="11.25" x14ac:dyDescent="0.2">
      <c r="A42" s="142" t="s">
        <v>3110</v>
      </c>
      <c r="B42" s="27">
        <v>1388.6</v>
      </c>
      <c r="C42" s="107"/>
      <c r="D42" s="107">
        <v>696.39999999999986</v>
      </c>
      <c r="E42" s="107"/>
      <c r="F42" s="572">
        <v>692.2</v>
      </c>
      <c r="G42" s="107"/>
      <c r="H42" s="27">
        <v>1405.3</v>
      </c>
      <c r="I42" s="107"/>
      <c r="J42" s="107">
        <v>780.1</v>
      </c>
      <c r="K42" s="107"/>
      <c r="L42" s="572">
        <v>625.19999999999993</v>
      </c>
      <c r="M42" s="107"/>
      <c r="N42" s="27">
        <v>1043.8999999999999</v>
      </c>
      <c r="O42" s="107"/>
      <c r="P42" s="107">
        <v>564.56278120762181</v>
      </c>
      <c r="Q42" s="107"/>
      <c r="R42" s="572">
        <v>479.337218792378</v>
      </c>
      <c r="S42" s="107"/>
      <c r="T42" s="27">
        <v>1053</v>
      </c>
      <c r="U42" s="107"/>
      <c r="V42" s="107">
        <v>510.86</v>
      </c>
      <c r="W42" s="107"/>
      <c r="X42" s="13">
        <v>542.14</v>
      </c>
      <c r="Y42" s="107"/>
      <c r="Z42" s="27">
        <v>1111.37778139546</v>
      </c>
      <c r="AA42" s="107"/>
      <c r="AB42" s="107">
        <v>592.6777813954601</v>
      </c>
      <c r="AC42" s="107"/>
      <c r="AD42" s="13">
        <v>518.59999999999991</v>
      </c>
    </row>
    <row r="43" spans="1:30" s="7" customFormat="1" ht="11.25" x14ac:dyDescent="0.2">
      <c r="A43" s="142" t="s">
        <v>218</v>
      </c>
      <c r="B43" s="27">
        <v>669.1</v>
      </c>
      <c r="C43" s="107"/>
      <c r="D43" s="107">
        <v>353.1</v>
      </c>
      <c r="E43" s="107"/>
      <c r="F43" s="572">
        <v>316</v>
      </c>
      <c r="G43" s="107"/>
      <c r="H43" s="27">
        <v>477.3</v>
      </c>
      <c r="I43" s="107"/>
      <c r="J43" s="107">
        <v>302.60000000000002</v>
      </c>
      <c r="K43" s="107"/>
      <c r="L43" s="572">
        <v>174.7</v>
      </c>
      <c r="M43" s="107"/>
      <c r="N43" s="27">
        <v>330.5</v>
      </c>
      <c r="O43" s="107"/>
      <c r="P43" s="107">
        <v>190.6</v>
      </c>
      <c r="Q43" s="107"/>
      <c r="R43" s="572">
        <v>139.9</v>
      </c>
      <c r="S43" s="107"/>
      <c r="T43" s="27">
        <v>305.7</v>
      </c>
      <c r="U43" s="107"/>
      <c r="V43" s="107">
        <v>152.1</v>
      </c>
      <c r="W43" s="107"/>
      <c r="X43" s="13">
        <v>153.6</v>
      </c>
      <c r="Y43" s="107"/>
      <c r="Z43" s="27">
        <v>293.3</v>
      </c>
      <c r="AA43" s="107"/>
      <c r="AB43" s="107">
        <v>167.8</v>
      </c>
      <c r="AC43" s="107"/>
      <c r="AD43" s="13">
        <v>125.5</v>
      </c>
    </row>
    <row r="44" spans="1:30" s="20" customFormat="1" ht="11.25" x14ac:dyDescent="0.2">
      <c r="A44" s="164" t="s">
        <v>3109</v>
      </c>
      <c r="B44" s="165">
        <v>5403.5</v>
      </c>
      <c r="C44" s="166"/>
      <c r="D44" s="166">
        <v>2796.9</v>
      </c>
      <c r="E44" s="166"/>
      <c r="F44" s="669">
        <v>2606.6000000000004</v>
      </c>
      <c r="G44" s="166"/>
      <c r="H44" s="165">
        <v>5521.6</v>
      </c>
      <c r="I44" s="166"/>
      <c r="J44" s="166">
        <v>3302.6</v>
      </c>
      <c r="K44" s="166"/>
      <c r="L44" s="669">
        <v>2219</v>
      </c>
      <c r="M44" s="166"/>
      <c r="N44" s="165">
        <v>4114.1000000000004</v>
      </c>
      <c r="O44" s="166"/>
      <c r="P44" s="166">
        <v>2451.9</v>
      </c>
      <c r="Q44" s="166"/>
      <c r="R44" s="669">
        <v>1662.1999999999998</v>
      </c>
      <c r="S44" s="166"/>
      <c r="T44" s="165">
        <v>3757.7</v>
      </c>
      <c r="U44" s="166"/>
      <c r="V44" s="166">
        <v>2005.5000000000002</v>
      </c>
      <c r="W44" s="166"/>
      <c r="X44" s="166">
        <v>1752.24077298667</v>
      </c>
      <c r="Y44" s="166"/>
      <c r="Z44" s="165">
        <v>3709.3999999999996</v>
      </c>
      <c r="AA44" s="166"/>
      <c r="AB44" s="166">
        <v>2089.6</v>
      </c>
      <c r="AC44" s="166"/>
      <c r="AD44" s="166">
        <v>1619.8</v>
      </c>
    </row>
    <row r="45" spans="1:30" s="7" customFormat="1" ht="11.25" x14ac:dyDescent="0.2">
      <c r="A45" s="142" t="s">
        <v>3111</v>
      </c>
      <c r="B45" s="622">
        <v>604.6</v>
      </c>
      <c r="C45" s="107"/>
      <c r="D45" s="107">
        <v>156.10000000000002</v>
      </c>
      <c r="E45" s="107"/>
      <c r="F45" s="572">
        <v>448.5</v>
      </c>
      <c r="G45" s="107"/>
      <c r="H45" s="622">
        <v>793.7</v>
      </c>
      <c r="I45" s="107">
        <v>0</v>
      </c>
      <c r="J45" s="107">
        <v>464.40000000000003</v>
      </c>
      <c r="K45" s="107"/>
      <c r="L45" s="572">
        <v>329.3</v>
      </c>
      <c r="M45" s="107">
        <v>0</v>
      </c>
      <c r="N45" s="622">
        <v>234.4</v>
      </c>
      <c r="O45" s="107">
        <v>0</v>
      </c>
      <c r="P45" s="107">
        <v>172.5</v>
      </c>
      <c r="Q45" s="107"/>
      <c r="R45" s="572">
        <v>61.9</v>
      </c>
      <c r="S45" s="107">
        <v>0</v>
      </c>
      <c r="T45" s="622">
        <v>184.5</v>
      </c>
      <c r="U45" s="107">
        <v>0</v>
      </c>
      <c r="V45" s="107">
        <v>88.8</v>
      </c>
      <c r="W45" s="107"/>
      <c r="X45" s="107">
        <v>95.7</v>
      </c>
      <c r="Y45" s="107">
        <v>0</v>
      </c>
      <c r="Z45" s="622">
        <v>208.8</v>
      </c>
      <c r="AA45" s="107">
        <v>0</v>
      </c>
      <c r="AB45" s="107">
        <v>86.300000000000011</v>
      </c>
      <c r="AC45" s="107">
        <v>0</v>
      </c>
      <c r="AD45" s="107">
        <v>122.5</v>
      </c>
    </row>
    <row r="46" spans="1:30" s="569" customFormat="1" ht="10.5" x14ac:dyDescent="0.2">
      <c r="A46" s="662" t="s">
        <v>3113</v>
      </c>
      <c r="B46" s="542">
        <v>6008.1</v>
      </c>
      <c r="C46" s="541"/>
      <c r="D46" s="166">
        <v>2953.0000000000005</v>
      </c>
      <c r="E46" s="541"/>
      <c r="F46" s="663">
        <v>3055.1</v>
      </c>
      <c r="G46" s="541"/>
      <c r="H46" s="542">
        <v>6315.3</v>
      </c>
      <c r="I46" s="541">
        <v>0</v>
      </c>
      <c r="J46" s="541">
        <v>3767</v>
      </c>
      <c r="K46" s="541">
        <v>0</v>
      </c>
      <c r="L46" s="663">
        <v>2548.3000000000002</v>
      </c>
      <c r="M46" s="541">
        <v>0</v>
      </c>
      <c r="N46" s="542">
        <v>4348.5</v>
      </c>
      <c r="O46" s="541">
        <v>0</v>
      </c>
      <c r="P46" s="541">
        <v>2624.4</v>
      </c>
      <c r="Q46" s="541">
        <v>0</v>
      </c>
      <c r="R46" s="663">
        <v>1724.1000000000001</v>
      </c>
      <c r="S46" s="541">
        <v>0</v>
      </c>
      <c r="T46" s="542">
        <v>3942.2</v>
      </c>
      <c r="U46" s="541">
        <v>0</v>
      </c>
      <c r="V46" s="541">
        <v>2094.3000000000002</v>
      </c>
      <c r="W46" s="541">
        <v>0</v>
      </c>
      <c r="X46" s="541">
        <v>1847.9</v>
      </c>
      <c r="Y46" s="541">
        <v>0</v>
      </c>
      <c r="Z46" s="542">
        <v>3918.2000000000003</v>
      </c>
      <c r="AA46" s="541">
        <v>0</v>
      </c>
      <c r="AB46" s="541">
        <v>2175.9</v>
      </c>
      <c r="AC46" s="541">
        <v>0</v>
      </c>
      <c r="AD46" s="541">
        <v>1742.3</v>
      </c>
    </row>
    <row r="47" spans="1:30" s="7" customFormat="1" ht="11.25" x14ac:dyDescent="0.2">
      <c r="A47" s="149"/>
      <c r="B47" s="18"/>
      <c r="C47" s="107"/>
      <c r="D47" s="107"/>
      <c r="E47" s="107"/>
      <c r="F47" s="572"/>
      <c r="G47" s="107"/>
      <c r="H47" s="18"/>
      <c r="I47" s="107"/>
      <c r="J47" s="107"/>
      <c r="K47" s="107"/>
      <c r="L47" s="572"/>
      <c r="M47" s="107"/>
      <c r="N47" s="18"/>
      <c r="O47" s="107"/>
      <c r="P47" s="107"/>
      <c r="Q47" s="107"/>
      <c r="R47" s="572"/>
      <c r="S47" s="107"/>
      <c r="T47" s="18"/>
      <c r="U47" s="107"/>
      <c r="V47" s="107"/>
      <c r="W47" s="107"/>
      <c r="X47" s="107"/>
      <c r="Y47" s="107"/>
      <c r="Z47" s="18"/>
      <c r="AA47" s="107"/>
      <c r="AB47" s="107"/>
      <c r="AC47" s="107"/>
      <c r="AD47" s="107"/>
    </row>
    <row r="48" spans="1:30" s="7" customFormat="1" ht="11.25" x14ac:dyDescent="0.2">
      <c r="A48" s="149" t="s">
        <v>3050</v>
      </c>
      <c r="B48" s="18"/>
      <c r="C48" s="107"/>
      <c r="D48" s="107"/>
      <c r="E48" s="107"/>
      <c r="F48" s="572"/>
      <c r="G48" s="107"/>
      <c r="H48" s="18"/>
      <c r="I48" s="107"/>
      <c r="J48" s="107"/>
      <c r="K48" s="107"/>
      <c r="L48" s="572"/>
      <c r="M48" s="107"/>
      <c r="N48" s="18"/>
      <c r="O48" s="107"/>
      <c r="P48" s="107"/>
      <c r="Q48" s="107"/>
      <c r="R48" s="572"/>
      <c r="S48" s="107"/>
      <c r="T48" s="18"/>
      <c r="U48" s="107"/>
      <c r="V48" s="107"/>
      <c r="W48" s="107"/>
      <c r="X48" s="107"/>
      <c r="Y48" s="107"/>
      <c r="Z48" s="18"/>
      <c r="AA48" s="107"/>
      <c r="AB48" s="107"/>
      <c r="AC48" s="107"/>
      <c r="AD48" s="107"/>
    </row>
    <row r="49" spans="1:30" s="7" customFormat="1" ht="11.25" x14ac:dyDescent="0.2">
      <c r="A49" s="142" t="s">
        <v>3085</v>
      </c>
      <c r="B49" s="18">
        <v>186.7</v>
      </c>
      <c r="C49" s="107">
        <v>0</v>
      </c>
      <c r="D49" s="107">
        <v>48.5</v>
      </c>
      <c r="E49" s="107"/>
      <c r="F49" s="107">
        <v>138.19999999999999</v>
      </c>
      <c r="G49" s="107">
        <v>0</v>
      </c>
      <c r="H49" s="18">
        <v>639.79999999999995</v>
      </c>
      <c r="I49" s="107">
        <v>0</v>
      </c>
      <c r="J49" s="107">
        <v>361.29999999999995</v>
      </c>
      <c r="K49" s="107"/>
      <c r="L49" s="107">
        <v>278.5</v>
      </c>
      <c r="M49" s="107">
        <v>0</v>
      </c>
      <c r="N49" s="18">
        <v>303.83876517383521</v>
      </c>
      <c r="O49" s="107">
        <v>0</v>
      </c>
      <c r="P49" s="107">
        <v>255.60000000000002</v>
      </c>
      <c r="Q49" s="107"/>
      <c r="R49" s="572">
        <v>48.2</v>
      </c>
      <c r="S49" s="107">
        <v>0</v>
      </c>
      <c r="T49" s="18">
        <v>57.700000000000017</v>
      </c>
      <c r="U49" s="107">
        <v>0</v>
      </c>
      <c r="V49" s="107">
        <v>46.6</v>
      </c>
      <c r="W49" s="107"/>
      <c r="X49" s="107">
        <v>11.100000000000001</v>
      </c>
      <c r="Y49" s="107">
        <v>0</v>
      </c>
      <c r="Z49" s="18">
        <v>-46.600000000000009</v>
      </c>
      <c r="AA49" s="107">
        <v>0</v>
      </c>
      <c r="AB49" s="107">
        <v>-33.4</v>
      </c>
      <c r="AC49" s="107">
        <v>0</v>
      </c>
      <c r="AD49" s="107">
        <v>-13.200000000000001</v>
      </c>
    </row>
    <row r="50" spans="1:30" s="7" customFormat="1" ht="11.25" x14ac:dyDescent="0.2">
      <c r="A50" s="142" t="s">
        <v>3086</v>
      </c>
      <c r="B50" s="18">
        <v>68.599999999999994</v>
      </c>
      <c r="C50" s="107"/>
      <c r="D50" s="107">
        <v>45.699999999999996</v>
      </c>
      <c r="E50" s="107"/>
      <c r="F50" s="107">
        <v>22.9</v>
      </c>
      <c r="G50" s="107"/>
      <c r="H50" s="18">
        <v>69.2</v>
      </c>
      <c r="I50" s="107"/>
      <c r="J50" s="107">
        <v>41.300000000000004</v>
      </c>
      <c r="K50" s="107"/>
      <c r="L50" s="107">
        <v>27.9</v>
      </c>
      <c r="M50" s="107"/>
      <c r="N50" s="18">
        <v>78.288312599999955</v>
      </c>
      <c r="O50" s="107"/>
      <c r="P50" s="107">
        <v>50.8</v>
      </c>
      <c r="Q50" s="107"/>
      <c r="R50" s="572">
        <v>27.5</v>
      </c>
      <c r="S50" s="107"/>
      <c r="T50" s="18">
        <v>71.3</v>
      </c>
      <c r="U50" s="107"/>
      <c r="V50" s="107">
        <v>43.099999999999994</v>
      </c>
      <c r="W50" s="107"/>
      <c r="X50" s="107">
        <v>28.2</v>
      </c>
      <c r="Y50" s="107"/>
      <c r="Z50" s="18">
        <v>47.000000000000007</v>
      </c>
      <c r="AA50" s="107"/>
      <c r="AB50" s="107">
        <v>29.3</v>
      </c>
      <c r="AC50" s="107"/>
      <c r="AD50" s="107">
        <v>17.700000000000003</v>
      </c>
    </row>
    <row r="51" spans="1:30" s="7" customFormat="1" ht="11.25" x14ac:dyDescent="0.2">
      <c r="A51" s="650" t="s">
        <v>3087</v>
      </c>
      <c r="B51" s="25">
        <v>255.29999999999998</v>
      </c>
      <c r="C51" s="108"/>
      <c r="D51" s="108">
        <v>94.200000000000017</v>
      </c>
      <c r="E51" s="108"/>
      <c r="F51" s="645">
        <v>161.1</v>
      </c>
      <c r="G51" s="108"/>
      <c r="H51" s="25">
        <v>709</v>
      </c>
      <c r="I51" s="108"/>
      <c r="J51" s="108">
        <v>402.6</v>
      </c>
      <c r="K51" s="108"/>
      <c r="L51" s="645">
        <v>306.39999999999998</v>
      </c>
      <c r="M51" s="108"/>
      <c r="N51" s="25">
        <v>382.12707777383514</v>
      </c>
      <c r="O51" s="108"/>
      <c r="P51" s="108">
        <v>306.40000000000003</v>
      </c>
      <c r="Q51" s="108"/>
      <c r="R51" s="645">
        <v>75.7</v>
      </c>
      <c r="S51" s="108"/>
      <c r="T51" s="25">
        <v>129</v>
      </c>
      <c r="U51" s="108"/>
      <c r="V51" s="108">
        <v>89.7</v>
      </c>
      <c r="W51" s="108"/>
      <c r="X51" s="108">
        <v>39.299999999999997</v>
      </c>
      <c r="Y51" s="108"/>
      <c r="Z51" s="25">
        <v>0.40000000000000213</v>
      </c>
      <c r="AA51" s="108"/>
      <c r="AB51" s="108">
        <v>-4.0999999999999996</v>
      </c>
      <c r="AC51" s="108"/>
      <c r="AD51" s="108">
        <v>4.4999999999999991</v>
      </c>
    </row>
    <row r="52" spans="1:30" s="7" customFormat="1" ht="11.25" x14ac:dyDescent="0.2">
      <c r="A52" s="142" t="s">
        <v>26</v>
      </c>
      <c r="B52" s="18">
        <v>289.10000000000002</v>
      </c>
      <c r="C52" s="142"/>
      <c r="D52" s="107">
        <v>160.40000000000003</v>
      </c>
      <c r="E52" s="107"/>
      <c r="F52" s="572">
        <v>128.69999999999999</v>
      </c>
      <c r="G52" s="142"/>
      <c r="H52" s="18">
        <v>251</v>
      </c>
      <c r="I52" s="142"/>
      <c r="J52" s="107">
        <v>129.80000000000001</v>
      </c>
      <c r="K52" s="107"/>
      <c r="L52" s="572">
        <v>121.2</v>
      </c>
      <c r="M52" s="142"/>
      <c r="N52" s="18">
        <v>219.48390873932999</v>
      </c>
      <c r="O52" s="142"/>
      <c r="P52" s="107">
        <v>109.4</v>
      </c>
      <c r="Q52" s="107"/>
      <c r="R52" s="572">
        <v>110.12545984588999</v>
      </c>
      <c r="S52" s="142"/>
      <c r="T52" s="18">
        <v>230.731506924613</v>
      </c>
      <c r="U52" s="142"/>
      <c r="V52" s="107">
        <v>119.39999999999999</v>
      </c>
      <c r="W52" s="107"/>
      <c r="X52" s="107">
        <v>111.34230439183699</v>
      </c>
      <c r="Y52" s="107"/>
      <c r="Z52" s="18">
        <v>255.356882853321</v>
      </c>
      <c r="AA52" s="142"/>
      <c r="AB52" s="107">
        <v>140</v>
      </c>
      <c r="AC52" s="107"/>
      <c r="AD52" s="107">
        <v>115.412286120796</v>
      </c>
    </row>
    <row r="53" spans="1:30" s="7" customFormat="1" ht="11.25" x14ac:dyDescent="0.2">
      <c r="A53" s="544" t="s">
        <v>3056</v>
      </c>
      <c r="B53" s="25">
        <v>544.40000000000009</v>
      </c>
      <c r="C53" s="108"/>
      <c r="D53" s="108">
        <v>254.60000000000002</v>
      </c>
      <c r="E53" s="108"/>
      <c r="F53" s="645">
        <v>289.79999999999995</v>
      </c>
      <c r="G53" s="108"/>
      <c r="H53" s="25">
        <v>960</v>
      </c>
      <c r="I53" s="108"/>
      <c r="J53" s="108">
        <v>532.40000000000009</v>
      </c>
      <c r="K53" s="108"/>
      <c r="L53" s="645">
        <v>427.59999999999997</v>
      </c>
      <c r="M53" s="108"/>
      <c r="N53" s="25">
        <v>601.6</v>
      </c>
      <c r="O53" s="108"/>
      <c r="P53" s="108">
        <v>415.79999999999995</v>
      </c>
      <c r="Q53" s="108"/>
      <c r="R53" s="645">
        <v>185.8</v>
      </c>
      <c r="S53" s="108"/>
      <c r="T53" s="25">
        <v>359.7</v>
      </c>
      <c r="U53" s="108"/>
      <c r="V53" s="108">
        <v>209.10000000000002</v>
      </c>
      <c r="W53" s="108"/>
      <c r="X53" s="108">
        <v>150.6</v>
      </c>
      <c r="Y53" s="108"/>
      <c r="Z53" s="25">
        <v>255.8</v>
      </c>
      <c r="AA53" s="108"/>
      <c r="AB53" s="108">
        <v>135.9</v>
      </c>
      <c r="AC53" s="108"/>
      <c r="AD53" s="108">
        <v>119.9</v>
      </c>
    </row>
    <row r="54" spans="1:30" s="7" customFormat="1" ht="11.25" x14ac:dyDescent="0.2">
      <c r="A54" s="150"/>
      <c r="B54" s="18"/>
      <c r="C54" s="107"/>
      <c r="D54" s="107"/>
      <c r="E54" s="107"/>
      <c r="F54" s="572"/>
      <c r="G54" s="107"/>
      <c r="H54" s="18"/>
      <c r="I54" s="107"/>
      <c r="J54" s="107"/>
      <c r="K54" s="107"/>
      <c r="L54" s="572"/>
      <c r="M54" s="107"/>
      <c r="N54" s="18"/>
      <c r="O54" s="107"/>
      <c r="P54" s="107"/>
      <c r="Q54" s="107"/>
      <c r="R54" s="572"/>
      <c r="S54" s="107"/>
      <c r="T54" s="18"/>
      <c r="U54" s="107"/>
      <c r="V54" s="107"/>
      <c r="W54" s="107"/>
      <c r="X54" s="107"/>
      <c r="Y54" s="107"/>
      <c r="Z54" s="18"/>
      <c r="AA54" s="107"/>
      <c r="AB54" s="107"/>
      <c r="AC54" s="107"/>
      <c r="AD54" s="107"/>
    </row>
    <row r="55" spans="1:30" s="7" customFormat="1" ht="11.25" x14ac:dyDescent="0.2">
      <c r="A55" s="142" t="s">
        <v>3074</v>
      </c>
      <c r="B55" s="18">
        <v>307.39999999999998</v>
      </c>
      <c r="C55" s="107"/>
      <c r="D55" s="107">
        <v>164.79999999999998</v>
      </c>
      <c r="E55" s="107"/>
      <c r="F55" s="572">
        <v>142.6</v>
      </c>
      <c r="G55" s="107"/>
      <c r="H55" s="18">
        <v>383.69999999999993</v>
      </c>
      <c r="I55" s="107"/>
      <c r="J55" s="107">
        <v>201.70000000000005</v>
      </c>
      <c r="K55" s="107"/>
      <c r="L55" s="572">
        <v>182.00000000000003</v>
      </c>
      <c r="M55" s="107"/>
      <c r="N55" s="18">
        <v>303.78522629317996</v>
      </c>
      <c r="O55" s="107"/>
      <c r="P55" s="107">
        <v>192.6</v>
      </c>
      <c r="Q55" s="107"/>
      <c r="R55" s="572">
        <v>111.2</v>
      </c>
      <c r="S55" s="107"/>
      <c r="T55" s="18">
        <v>304.31497823448001</v>
      </c>
      <c r="U55" s="107"/>
      <c r="V55" s="107">
        <v>152.89999999999998</v>
      </c>
      <c r="W55" s="107"/>
      <c r="X55" s="107">
        <v>151.44475283298698</v>
      </c>
      <c r="Y55" s="107"/>
      <c r="Z55" s="18">
        <v>310.29265845316201</v>
      </c>
      <c r="AA55" s="107"/>
      <c r="AB55" s="107">
        <v>186.3</v>
      </c>
      <c r="AC55" s="107"/>
      <c r="AD55" s="107">
        <v>124</v>
      </c>
    </row>
    <row r="56" spans="1:30" s="7" customFormat="1" ht="11.25" x14ac:dyDescent="0.2">
      <c r="A56" s="142" t="s">
        <v>3042</v>
      </c>
      <c r="B56" s="18">
        <v>0.1</v>
      </c>
      <c r="C56" s="109"/>
      <c r="D56" s="107">
        <v>-0.1</v>
      </c>
      <c r="E56" s="107"/>
      <c r="F56" s="572">
        <v>0.2</v>
      </c>
      <c r="G56" s="109"/>
      <c r="H56" s="18">
        <v>0.4</v>
      </c>
      <c r="I56" s="109"/>
      <c r="J56" s="107">
        <v>-0.6</v>
      </c>
      <c r="K56" s="107"/>
      <c r="L56" s="572">
        <v>1</v>
      </c>
      <c r="M56" s="109"/>
      <c r="N56" s="18">
        <v>-2.1</v>
      </c>
      <c r="O56" s="109"/>
      <c r="P56" s="107">
        <v>-1.6</v>
      </c>
      <c r="Q56" s="107"/>
      <c r="R56" s="572">
        <v>-0.5</v>
      </c>
      <c r="S56" s="109"/>
      <c r="T56" s="18">
        <v>-0.3</v>
      </c>
      <c r="U56" s="109"/>
      <c r="V56" s="107">
        <v>1</v>
      </c>
      <c r="W56" s="107"/>
      <c r="X56" s="107">
        <v>-1.27503754147016</v>
      </c>
      <c r="Y56" s="107"/>
      <c r="Z56" s="18">
        <v>-1.7000000000000002</v>
      </c>
      <c r="AA56" s="109"/>
      <c r="AB56" s="107">
        <v>-0.5</v>
      </c>
      <c r="AC56" s="107"/>
      <c r="AD56" s="107">
        <v>-1.2</v>
      </c>
    </row>
    <row r="57" spans="1:30" s="7" customFormat="1" ht="11.25" x14ac:dyDescent="0.2">
      <c r="A57" s="142" t="s">
        <v>28</v>
      </c>
      <c r="B57" s="18">
        <v>-43.9</v>
      </c>
      <c r="C57" s="107"/>
      <c r="D57" s="107">
        <v>-20.299999999999997</v>
      </c>
      <c r="E57" s="107"/>
      <c r="F57" s="572">
        <v>-23.6</v>
      </c>
      <c r="G57" s="107"/>
      <c r="H57" s="18">
        <v>-42.5</v>
      </c>
      <c r="I57" s="107"/>
      <c r="J57" s="107">
        <v>-24.7</v>
      </c>
      <c r="K57" s="107"/>
      <c r="L57" s="572">
        <v>-17.8</v>
      </c>
      <c r="M57" s="107"/>
      <c r="N57" s="18">
        <v>-24.501708642359397</v>
      </c>
      <c r="O57" s="107"/>
      <c r="P57" s="107">
        <v>-15.9</v>
      </c>
      <c r="Q57" s="107"/>
      <c r="R57" s="572">
        <v>-8.6</v>
      </c>
      <c r="S57" s="107"/>
      <c r="T57" s="18">
        <v>-25.164409171275</v>
      </c>
      <c r="U57" s="107"/>
      <c r="V57" s="107">
        <v>-13.7</v>
      </c>
      <c r="W57" s="107"/>
      <c r="X57" s="107">
        <v>-11.524076133612299</v>
      </c>
      <c r="Y57" s="107"/>
      <c r="Z57" s="18">
        <v>-25.361776575359784</v>
      </c>
      <c r="AA57" s="107"/>
      <c r="AB57" s="107">
        <v>-14.299999999999999</v>
      </c>
      <c r="AC57" s="107"/>
      <c r="AD57" s="107">
        <v>-11.1</v>
      </c>
    </row>
    <row r="58" spans="1:30" s="569" customFormat="1" ht="10.5" x14ac:dyDescent="0.2">
      <c r="A58" s="164" t="s">
        <v>3106</v>
      </c>
      <c r="B58" s="165">
        <v>808</v>
      </c>
      <c r="C58" s="166"/>
      <c r="D58" s="166">
        <v>399</v>
      </c>
      <c r="E58" s="166"/>
      <c r="F58" s="663">
        <v>408.99999999999994</v>
      </c>
      <c r="G58" s="166"/>
      <c r="H58" s="165">
        <v>1301.5999999999999</v>
      </c>
      <c r="I58" s="166"/>
      <c r="J58" s="166">
        <v>708.8</v>
      </c>
      <c r="K58" s="166"/>
      <c r="L58" s="663">
        <v>592.79999999999995</v>
      </c>
      <c r="M58" s="166"/>
      <c r="N58" s="165">
        <v>878.8</v>
      </c>
      <c r="O58" s="166"/>
      <c r="P58" s="166">
        <v>590.90000000000009</v>
      </c>
      <c r="Q58" s="166"/>
      <c r="R58" s="166">
        <v>287.89999999999998</v>
      </c>
      <c r="S58" s="166"/>
      <c r="T58" s="165">
        <v>638.507217423459</v>
      </c>
      <c r="U58" s="166"/>
      <c r="V58" s="166">
        <v>349.3</v>
      </c>
      <c r="W58" s="166"/>
      <c r="X58" s="541">
        <v>289.15631422901498</v>
      </c>
      <c r="Y58" s="541">
        <v>0</v>
      </c>
      <c r="Z58" s="165">
        <v>539</v>
      </c>
      <c r="AA58" s="166"/>
      <c r="AB58" s="166">
        <v>307.40000000000003</v>
      </c>
      <c r="AC58" s="166"/>
      <c r="AD58" s="166">
        <v>231.6</v>
      </c>
    </row>
    <row r="59" spans="1:30" s="7" customFormat="1" ht="11.25" x14ac:dyDescent="0.2">
      <c r="A59" s="142" t="s">
        <v>3103</v>
      </c>
      <c r="B59" s="622">
        <v>407.4</v>
      </c>
      <c r="C59" s="107"/>
      <c r="D59" s="107">
        <v>92.099999999999966</v>
      </c>
      <c r="E59" s="107"/>
      <c r="F59" s="572">
        <v>315.3</v>
      </c>
      <c r="G59" s="107"/>
      <c r="H59" s="622">
        <v>556.1</v>
      </c>
      <c r="I59" s="107"/>
      <c r="J59" s="107">
        <v>397.5</v>
      </c>
      <c r="K59" s="107"/>
      <c r="L59" s="572">
        <v>158.6</v>
      </c>
      <c r="M59" s="107"/>
      <c r="N59" s="622">
        <v>56.1</v>
      </c>
      <c r="O59" s="107"/>
      <c r="P59" s="107">
        <v>58.300000000000004</v>
      </c>
      <c r="Q59" s="107"/>
      <c r="R59" s="107">
        <v>-2.2000000000000002</v>
      </c>
      <c r="S59" s="107"/>
      <c r="T59" s="622">
        <v>92</v>
      </c>
      <c r="U59" s="107"/>
      <c r="V59" s="107">
        <v>43.7</v>
      </c>
      <c r="W59" s="107"/>
      <c r="X59" s="107">
        <v>48.3</v>
      </c>
      <c r="Y59" s="107"/>
      <c r="Z59" s="622">
        <v>66.3</v>
      </c>
      <c r="AA59" s="107"/>
      <c r="AB59" s="107">
        <v>33.699999999999996</v>
      </c>
      <c r="AC59" s="107"/>
      <c r="AD59" s="107">
        <v>32.6</v>
      </c>
    </row>
    <row r="60" spans="1:30" s="569" customFormat="1" ht="10.5" x14ac:dyDescent="0.2">
      <c r="A60" s="164" t="s">
        <v>3052</v>
      </c>
      <c r="B60" s="542">
        <v>1215.4000000000001</v>
      </c>
      <c r="C60" s="541"/>
      <c r="D60" s="166">
        <v>491.10000000000014</v>
      </c>
      <c r="E60" s="541"/>
      <c r="F60" s="663">
        <v>724.3</v>
      </c>
      <c r="G60" s="541"/>
      <c r="H60" s="542">
        <v>1857.6999999999998</v>
      </c>
      <c r="I60" s="541">
        <v>0</v>
      </c>
      <c r="J60" s="541">
        <v>1106.3</v>
      </c>
      <c r="K60" s="541">
        <v>0</v>
      </c>
      <c r="L60" s="663">
        <v>751.4</v>
      </c>
      <c r="M60" s="541">
        <v>0</v>
      </c>
      <c r="N60" s="542">
        <v>934.9</v>
      </c>
      <c r="O60" s="541">
        <v>0</v>
      </c>
      <c r="P60" s="541">
        <v>649.19999999999993</v>
      </c>
      <c r="Q60" s="541">
        <v>0</v>
      </c>
      <c r="R60" s="663">
        <v>285.7</v>
      </c>
      <c r="S60" s="541">
        <v>0</v>
      </c>
      <c r="T60" s="542">
        <v>730.5</v>
      </c>
      <c r="U60" s="541">
        <v>0</v>
      </c>
      <c r="V60" s="541">
        <v>393</v>
      </c>
      <c r="W60" s="541">
        <v>0</v>
      </c>
      <c r="X60" s="541">
        <v>337.5</v>
      </c>
      <c r="Y60" s="541">
        <v>0</v>
      </c>
      <c r="Z60" s="542">
        <v>605.29999999999995</v>
      </c>
      <c r="AA60" s="541">
        <v>0</v>
      </c>
      <c r="AB60" s="541">
        <v>341.09999999999997</v>
      </c>
      <c r="AC60" s="541">
        <v>0</v>
      </c>
      <c r="AD60" s="541">
        <v>264.2</v>
      </c>
    </row>
    <row r="61" spans="1:30" s="7" customFormat="1" ht="11.25" x14ac:dyDescent="0.2">
      <c r="A61" s="149"/>
      <c r="B61" s="18"/>
      <c r="C61" s="107"/>
      <c r="D61" s="107"/>
      <c r="E61" s="107"/>
      <c r="F61" s="572"/>
      <c r="G61" s="107"/>
      <c r="H61" s="18"/>
      <c r="I61" s="107"/>
      <c r="J61" s="107"/>
      <c r="K61" s="107"/>
      <c r="L61" s="572"/>
      <c r="M61" s="107"/>
      <c r="N61" s="18"/>
      <c r="O61" s="107"/>
      <c r="P61" s="107"/>
      <c r="Q61" s="107"/>
      <c r="R61" s="572"/>
      <c r="S61" s="107"/>
      <c r="T61" s="18"/>
      <c r="U61" s="107"/>
      <c r="V61" s="107"/>
      <c r="W61" s="107"/>
      <c r="X61" s="107"/>
      <c r="Y61" s="107"/>
      <c r="Z61" s="18"/>
      <c r="AA61" s="107"/>
      <c r="AB61" s="107"/>
      <c r="AC61" s="107"/>
      <c r="AD61" s="107"/>
    </row>
    <row r="62" spans="1:30" s="7" customFormat="1" ht="11.25" x14ac:dyDescent="0.2">
      <c r="A62" s="149" t="s">
        <v>59</v>
      </c>
      <c r="B62" s="18"/>
      <c r="C62" s="107"/>
      <c r="D62" s="107"/>
      <c r="E62" s="107"/>
      <c r="F62" s="572"/>
      <c r="G62" s="107"/>
      <c r="H62" s="18"/>
      <c r="I62" s="107"/>
      <c r="J62" s="107"/>
      <c r="K62" s="107"/>
      <c r="L62" s="572"/>
      <c r="M62" s="107"/>
      <c r="N62" s="18"/>
      <c r="O62" s="107"/>
      <c r="P62" s="107"/>
      <c r="Q62" s="107"/>
      <c r="R62" s="572"/>
      <c r="S62" s="107"/>
      <c r="T62" s="18"/>
      <c r="U62" s="107"/>
      <c r="V62" s="107"/>
      <c r="W62" s="107"/>
      <c r="X62" s="107"/>
      <c r="Y62" s="107"/>
      <c r="Z62" s="18"/>
      <c r="AA62" s="107"/>
      <c r="AB62" s="107"/>
      <c r="AC62" s="107"/>
      <c r="AD62" s="107"/>
    </row>
    <row r="63" spans="1:30" s="7" customFormat="1" ht="11.25" x14ac:dyDescent="0.2">
      <c r="A63" s="573" t="s">
        <v>3085</v>
      </c>
      <c r="B63" s="18">
        <v>-79.2</v>
      </c>
      <c r="C63" s="107"/>
      <c r="D63" s="107">
        <v>-36.6</v>
      </c>
      <c r="E63" s="107"/>
      <c r="F63" s="107">
        <v>-42.6</v>
      </c>
      <c r="G63" s="107"/>
      <c r="H63" s="18">
        <v>-76.699999999999989</v>
      </c>
      <c r="I63" s="107"/>
      <c r="J63" s="107">
        <v>-36.5</v>
      </c>
      <c r="K63" s="107"/>
      <c r="L63" s="107">
        <v>-40.200000000000003</v>
      </c>
      <c r="M63" s="107"/>
      <c r="N63" s="18">
        <v>-95.038765173835202</v>
      </c>
      <c r="O63" s="107"/>
      <c r="P63" s="107">
        <v>-48.8</v>
      </c>
      <c r="Q63" s="107"/>
      <c r="R63" s="572">
        <v>-46.2</v>
      </c>
      <c r="S63" s="107"/>
      <c r="T63" s="18">
        <v>-86.100000000000023</v>
      </c>
      <c r="U63" s="107"/>
      <c r="V63" s="107">
        <v>-44.899999999999991</v>
      </c>
      <c r="W63" s="107"/>
      <c r="X63" s="107">
        <v>-41.2</v>
      </c>
      <c r="Y63" s="107"/>
      <c r="Z63" s="18">
        <v>-72.999999999999986</v>
      </c>
      <c r="AA63" s="107"/>
      <c r="AB63" s="107">
        <v>-39.1</v>
      </c>
      <c r="AC63" s="107"/>
      <c r="AD63" s="107">
        <v>-33.9</v>
      </c>
    </row>
    <row r="64" spans="1:30" s="7" customFormat="1" ht="11.25" x14ac:dyDescent="0.2">
      <c r="A64" s="573" t="s">
        <v>3086</v>
      </c>
      <c r="B64" s="18">
        <v>-22.9</v>
      </c>
      <c r="C64" s="107"/>
      <c r="D64" s="107">
        <v>-12.099999999999998</v>
      </c>
      <c r="E64" s="107"/>
      <c r="F64" s="107">
        <v>-10.8</v>
      </c>
      <c r="G64" s="107"/>
      <c r="H64" s="18">
        <v>-18.600000000000001</v>
      </c>
      <c r="I64" s="107"/>
      <c r="J64" s="107">
        <v>-9.3000000000000007</v>
      </c>
      <c r="K64" s="107"/>
      <c r="L64" s="107">
        <v>-9.3000000000000007</v>
      </c>
      <c r="M64" s="107"/>
      <c r="N64" s="18">
        <v>-18.688312599999961</v>
      </c>
      <c r="O64" s="107"/>
      <c r="P64" s="107">
        <v>-9.3999999999999986</v>
      </c>
      <c r="Q64" s="107"/>
      <c r="R64" s="572">
        <v>-9.3000000000000007</v>
      </c>
      <c r="S64" s="107"/>
      <c r="T64" s="18">
        <v>-16.699999999999996</v>
      </c>
      <c r="U64" s="107"/>
      <c r="V64" s="107">
        <v>-8.6999999999999993</v>
      </c>
      <c r="W64" s="107"/>
      <c r="X64" s="107">
        <v>-8</v>
      </c>
      <c r="Y64" s="107"/>
      <c r="Z64" s="18">
        <v>-7.1000000000000085</v>
      </c>
      <c r="AA64" s="107"/>
      <c r="AB64" s="107">
        <v>-3.9999999999999996</v>
      </c>
      <c r="AC64" s="107"/>
      <c r="AD64" s="107">
        <v>-3.1000000000000032</v>
      </c>
    </row>
    <row r="65" spans="1:30" s="7" customFormat="1" ht="11.25" x14ac:dyDescent="0.2">
      <c r="A65" s="650" t="s">
        <v>3087</v>
      </c>
      <c r="B65" s="25">
        <v>-102.1</v>
      </c>
      <c r="C65" s="108"/>
      <c r="D65" s="108">
        <v>-48.699999999999996</v>
      </c>
      <c r="E65" s="108"/>
      <c r="F65" s="645">
        <v>-53.400000000000006</v>
      </c>
      <c r="G65" s="108"/>
      <c r="H65" s="25">
        <v>-95.299999999999983</v>
      </c>
      <c r="I65" s="108"/>
      <c r="J65" s="108">
        <v>-45.8</v>
      </c>
      <c r="K65" s="108"/>
      <c r="L65" s="645">
        <v>-49.5</v>
      </c>
      <c r="M65" s="108"/>
      <c r="N65" s="25">
        <v>-113.72707777383516</v>
      </c>
      <c r="O65" s="108"/>
      <c r="P65" s="108">
        <v>-58.2</v>
      </c>
      <c r="Q65" s="108"/>
      <c r="R65" s="645">
        <v>-55.5</v>
      </c>
      <c r="S65" s="108"/>
      <c r="T65" s="25">
        <v>-102.80000000000001</v>
      </c>
      <c r="U65" s="108"/>
      <c r="V65" s="108">
        <v>-53.599999999999994</v>
      </c>
      <c r="W65" s="108"/>
      <c r="X65" s="108">
        <v>-49.2</v>
      </c>
      <c r="Y65" s="108"/>
      <c r="Z65" s="25">
        <v>-80.099999999999994</v>
      </c>
      <c r="AA65" s="108"/>
      <c r="AB65" s="108">
        <v>-43.099999999999994</v>
      </c>
      <c r="AC65" s="108"/>
      <c r="AD65" s="108">
        <v>-37</v>
      </c>
    </row>
    <row r="66" spans="1:30" s="7" customFormat="1" ht="11.25" x14ac:dyDescent="0.2">
      <c r="A66" s="142" t="s">
        <v>26</v>
      </c>
      <c r="B66" s="18">
        <v>-100.8</v>
      </c>
      <c r="C66" s="142"/>
      <c r="D66" s="107">
        <v>-51.4</v>
      </c>
      <c r="E66" s="107"/>
      <c r="F66" s="572">
        <v>-49.4</v>
      </c>
      <c r="G66" s="142"/>
      <c r="H66" s="18">
        <v>-88.5</v>
      </c>
      <c r="I66" s="142"/>
      <c r="J66" s="107">
        <v>-46.4</v>
      </c>
      <c r="K66" s="107"/>
      <c r="L66" s="572">
        <v>-42.1</v>
      </c>
      <c r="M66" s="142"/>
      <c r="N66" s="18">
        <v>-79.276553498646791</v>
      </c>
      <c r="O66" s="142"/>
      <c r="P66" s="107">
        <v>-39.4</v>
      </c>
      <c r="Q66" s="107"/>
      <c r="R66" s="572">
        <v>-39.913098395078499</v>
      </c>
      <c r="S66" s="142"/>
      <c r="T66" s="18">
        <v>-81.375741921360898</v>
      </c>
      <c r="U66" s="142"/>
      <c r="V66" s="107">
        <v>-41.2</v>
      </c>
      <c r="W66" s="107"/>
      <c r="X66" s="107">
        <v>-40.167519713870504</v>
      </c>
      <c r="Y66" s="107"/>
      <c r="Z66" s="18">
        <v>-76.2255708164423</v>
      </c>
      <c r="AA66" s="142"/>
      <c r="AB66" s="107">
        <v>-37.400000000000006</v>
      </c>
      <c r="AC66" s="107"/>
      <c r="AD66" s="107">
        <v>-38.791382390500594</v>
      </c>
    </row>
    <row r="67" spans="1:30" s="7" customFormat="1" ht="11.25" x14ac:dyDescent="0.2">
      <c r="A67" s="544" t="s">
        <v>3056</v>
      </c>
      <c r="B67" s="25">
        <v>-202.89999999999998</v>
      </c>
      <c r="C67" s="108"/>
      <c r="D67" s="108">
        <v>-100.1</v>
      </c>
      <c r="E67" s="108"/>
      <c r="F67" s="645">
        <v>-102.8</v>
      </c>
      <c r="G67" s="108"/>
      <c r="H67" s="25">
        <v>-183.8</v>
      </c>
      <c r="I67" s="108"/>
      <c r="J67" s="108">
        <v>-92.199999999999989</v>
      </c>
      <c r="K67" s="108"/>
      <c r="L67" s="645">
        <v>-91.6</v>
      </c>
      <c r="M67" s="108"/>
      <c r="N67" s="25">
        <v>-193</v>
      </c>
      <c r="O67" s="108"/>
      <c r="P67" s="108">
        <v>-97.6</v>
      </c>
      <c r="Q67" s="108"/>
      <c r="R67" s="645">
        <v>-95.4</v>
      </c>
      <c r="S67" s="108"/>
      <c r="T67" s="25">
        <v>-184.20000000000002</v>
      </c>
      <c r="U67" s="108"/>
      <c r="V67" s="108">
        <v>-94.800000000000011</v>
      </c>
      <c r="W67" s="108"/>
      <c r="X67" s="108">
        <v>-89.4</v>
      </c>
      <c r="Y67" s="108"/>
      <c r="Z67" s="25">
        <v>-156.30000000000001</v>
      </c>
      <c r="AA67" s="108"/>
      <c r="AB67" s="108">
        <v>-80.5</v>
      </c>
      <c r="AC67" s="108"/>
      <c r="AD67" s="108">
        <v>-75.8</v>
      </c>
    </row>
    <row r="68" spans="1:30" s="7" customFormat="1" ht="11.25" x14ac:dyDescent="0.2">
      <c r="A68" s="150"/>
      <c r="B68" s="18"/>
      <c r="C68" s="107"/>
      <c r="D68" s="107"/>
      <c r="E68" s="107"/>
      <c r="F68" s="572"/>
      <c r="G68" s="107"/>
      <c r="H68" s="18"/>
      <c r="I68" s="107"/>
      <c r="J68" s="107"/>
      <c r="K68" s="107"/>
      <c r="L68" s="572"/>
      <c r="M68" s="107"/>
      <c r="N68" s="18"/>
      <c r="O68" s="107"/>
      <c r="P68" s="107"/>
      <c r="Q68" s="107"/>
      <c r="R68" s="572"/>
      <c r="S68" s="107"/>
      <c r="T68" s="18"/>
      <c r="U68" s="107"/>
      <c r="V68" s="107"/>
      <c r="W68" s="107"/>
      <c r="X68" s="107"/>
      <c r="Y68" s="107"/>
      <c r="Z68" s="18"/>
      <c r="AA68" s="107"/>
      <c r="AB68" s="107"/>
      <c r="AC68" s="107"/>
      <c r="AD68" s="107"/>
    </row>
    <row r="69" spans="1:30" s="7" customFormat="1" ht="11.25" x14ac:dyDescent="0.2">
      <c r="A69" s="142" t="s">
        <v>3074</v>
      </c>
      <c r="B69" s="18">
        <v>-116.1</v>
      </c>
      <c r="C69" s="107"/>
      <c r="D69" s="107">
        <v>-60.199999999999996</v>
      </c>
      <c r="E69" s="107"/>
      <c r="F69" s="572">
        <v>-55.9</v>
      </c>
      <c r="G69" s="107"/>
      <c r="H69" s="18">
        <v>-118.8</v>
      </c>
      <c r="I69" s="107"/>
      <c r="J69" s="107">
        <v>-60.1</v>
      </c>
      <c r="K69" s="107"/>
      <c r="L69" s="572">
        <v>-58.699999999999996</v>
      </c>
      <c r="M69" s="107"/>
      <c r="N69" s="18">
        <v>-119.74572613910301</v>
      </c>
      <c r="O69" s="107"/>
      <c r="P69" s="107">
        <v>-61.20000000000001</v>
      </c>
      <c r="Q69" s="107"/>
      <c r="R69" s="572">
        <v>-58.490924938894601</v>
      </c>
      <c r="S69" s="107"/>
      <c r="T69" s="18">
        <v>-123.039066097834</v>
      </c>
      <c r="U69" s="107"/>
      <c r="V69" s="107">
        <v>-58</v>
      </c>
      <c r="W69" s="107"/>
      <c r="X69" s="107">
        <v>-64.997294966574998</v>
      </c>
      <c r="Y69" s="107"/>
      <c r="Z69" s="18">
        <v>-102.41155303806399</v>
      </c>
      <c r="AA69" s="107"/>
      <c r="AB69" s="107">
        <v>-52.900000000000006</v>
      </c>
      <c r="AC69" s="107"/>
      <c r="AD69" s="107">
        <v>-49.454739259870792</v>
      </c>
    </row>
    <row r="70" spans="1:30" s="7" customFormat="1" ht="11.25" x14ac:dyDescent="0.2">
      <c r="A70" s="142" t="s">
        <v>3099</v>
      </c>
      <c r="B70" s="18">
        <v>-5.7</v>
      </c>
      <c r="C70" s="107"/>
      <c r="D70" s="107">
        <v>-2.8000000000000003</v>
      </c>
      <c r="E70" s="107"/>
      <c r="F70" s="572">
        <v>-2.9</v>
      </c>
      <c r="G70" s="107"/>
      <c r="H70" s="18">
        <v>-8.1999999999999993</v>
      </c>
      <c r="I70" s="107"/>
      <c r="J70" s="107">
        <v>-5.3999999999999995</v>
      </c>
      <c r="K70" s="107"/>
      <c r="L70" s="572">
        <v>-2.8</v>
      </c>
      <c r="M70" s="107"/>
      <c r="N70" s="18">
        <v>-5.4591370010033904</v>
      </c>
      <c r="O70" s="107"/>
      <c r="P70" s="107">
        <v>-3</v>
      </c>
      <c r="Q70" s="107"/>
      <c r="R70" s="572">
        <v>-2.5229879367710599</v>
      </c>
      <c r="S70" s="107"/>
      <c r="T70" s="18">
        <v>-6.2981226332248799</v>
      </c>
      <c r="U70" s="107"/>
      <c r="V70" s="107">
        <v>-3.6999999999999997</v>
      </c>
      <c r="W70" s="107"/>
      <c r="X70" s="107">
        <v>-2.6451626127727801</v>
      </c>
      <c r="Y70" s="107"/>
      <c r="Z70" s="18">
        <v>-2.71827567624723</v>
      </c>
      <c r="AA70" s="107"/>
      <c r="AB70" s="107">
        <v>-1.7000000000000002</v>
      </c>
      <c r="AC70" s="107"/>
      <c r="AD70" s="107">
        <v>-1.0127564499999999</v>
      </c>
    </row>
    <row r="71" spans="1:30" s="569" customFormat="1" ht="10.5" x14ac:dyDescent="0.2">
      <c r="A71" s="164" t="s">
        <v>3107</v>
      </c>
      <c r="B71" s="165">
        <v>-324.7</v>
      </c>
      <c r="C71" s="166"/>
      <c r="D71" s="166">
        <v>-163.1</v>
      </c>
      <c r="E71" s="166"/>
      <c r="F71" s="663">
        <v>-161.6</v>
      </c>
      <c r="G71" s="166"/>
      <c r="H71" s="165">
        <v>-310.8</v>
      </c>
      <c r="I71" s="166"/>
      <c r="J71" s="166">
        <v>-157.70000000000002</v>
      </c>
      <c r="K71" s="166"/>
      <c r="L71" s="663">
        <v>-153.1</v>
      </c>
      <c r="M71" s="166"/>
      <c r="N71" s="165">
        <v>-318.2</v>
      </c>
      <c r="O71" s="166"/>
      <c r="P71" s="166">
        <v>-161.80000000000001</v>
      </c>
      <c r="Q71" s="166"/>
      <c r="R71" s="663">
        <v>-156.4</v>
      </c>
      <c r="S71" s="166"/>
      <c r="T71" s="165">
        <v>-313.51627589922799</v>
      </c>
      <c r="U71" s="166"/>
      <c r="V71" s="166">
        <v>-156.5</v>
      </c>
      <c r="W71" s="166"/>
      <c r="X71" s="541">
        <v>-157.03238651398698</v>
      </c>
      <c r="Y71" s="541">
        <v>0</v>
      </c>
      <c r="Z71" s="165">
        <v>-261.40000000000003</v>
      </c>
      <c r="AA71" s="166"/>
      <c r="AB71" s="166">
        <v>-135.1</v>
      </c>
      <c r="AC71" s="166"/>
      <c r="AD71" s="541">
        <v>-126.3</v>
      </c>
    </row>
    <row r="72" spans="1:30" s="7" customFormat="1" ht="11.25" x14ac:dyDescent="0.2">
      <c r="A72" s="142" t="s">
        <v>3103</v>
      </c>
      <c r="B72" s="622">
        <v>-10.9</v>
      </c>
      <c r="C72" s="107"/>
      <c r="D72" s="107">
        <v>0.19999999999999929</v>
      </c>
      <c r="E72" s="107"/>
      <c r="F72" s="572">
        <v>-11.1</v>
      </c>
      <c r="G72" s="107"/>
      <c r="H72" s="622">
        <v>-61.7</v>
      </c>
      <c r="I72" s="107"/>
      <c r="J72" s="107">
        <v>-31.6</v>
      </c>
      <c r="K72" s="107"/>
      <c r="L72" s="572">
        <v>-30.1</v>
      </c>
      <c r="M72" s="107"/>
      <c r="N72" s="622">
        <v>-50.3</v>
      </c>
      <c r="O72" s="107"/>
      <c r="P72" s="107">
        <v>-31.199999999999996</v>
      </c>
      <c r="Q72" s="107"/>
      <c r="R72" s="572">
        <v>-19.100000000000001</v>
      </c>
      <c r="S72" s="107"/>
      <c r="T72" s="622">
        <v>-42.5</v>
      </c>
      <c r="U72" s="107"/>
      <c r="V72" s="107">
        <v>-21.2</v>
      </c>
      <c r="W72" s="107"/>
      <c r="X72" s="107">
        <v>-21.3</v>
      </c>
      <c r="Y72" s="107"/>
      <c r="Z72" s="622">
        <v>-40.200000000000003</v>
      </c>
      <c r="AA72" s="107"/>
      <c r="AB72" s="107">
        <v>-21.000000000000004</v>
      </c>
      <c r="AC72" s="107"/>
      <c r="AD72" s="107">
        <v>-19.2</v>
      </c>
    </row>
    <row r="73" spans="1:30" s="569" customFormat="1" ht="10.5" x14ac:dyDescent="0.2">
      <c r="A73" s="164" t="s">
        <v>60</v>
      </c>
      <c r="B73" s="542">
        <v>-335.59999999999997</v>
      </c>
      <c r="C73" s="541"/>
      <c r="D73" s="166">
        <v>-162.90000000000003</v>
      </c>
      <c r="E73" s="541"/>
      <c r="F73" s="663">
        <v>-172.7</v>
      </c>
      <c r="G73" s="541"/>
      <c r="H73" s="542">
        <v>-372.5</v>
      </c>
      <c r="I73" s="541">
        <v>0</v>
      </c>
      <c r="J73" s="541">
        <v>-189.29999999999998</v>
      </c>
      <c r="K73" s="541">
        <v>0</v>
      </c>
      <c r="L73" s="663">
        <v>-183.2</v>
      </c>
      <c r="M73" s="541">
        <v>0</v>
      </c>
      <c r="N73" s="542">
        <v>-368.5</v>
      </c>
      <c r="O73" s="541">
        <v>0</v>
      </c>
      <c r="P73" s="541">
        <v>-193</v>
      </c>
      <c r="Q73" s="541">
        <v>0</v>
      </c>
      <c r="R73" s="663">
        <v>-175.5</v>
      </c>
      <c r="S73" s="541">
        <v>0</v>
      </c>
      <c r="T73" s="542">
        <v>-356</v>
      </c>
      <c r="U73" s="541">
        <v>0</v>
      </c>
      <c r="V73" s="541">
        <v>-177.7</v>
      </c>
      <c r="W73" s="541">
        <v>0</v>
      </c>
      <c r="X73" s="541">
        <v>-178.3</v>
      </c>
      <c r="Y73" s="541">
        <v>0</v>
      </c>
      <c r="Z73" s="542">
        <v>-301.59999999999997</v>
      </c>
      <c r="AA73" s="541">
        <v>0</v>
      </c>
      <c r="AB73" s="541">
        <v>-156.1</v>
      </c>
      <c r="AC73" s="541">
        <v>0</v>
      </c>
      <c r="AD73" s="541">
        <v>-145.5</v>
      </c>
    </row>
    <row r="74" spans="1:30" s="7" customFormat="1" ht="11.25" x14ac:dyDescent="0.2">
      <c r="A74" s="142"/>
      <c r="B74" s="27"/>
      <c r="C74" s="107"/>
      <c r="D74" s="531"/>
      <c r="E74" s="107"/>
      <c r="F74" s="664"/>
      <c r="G74" s="107"/>
      <c r="H74" s="27"/>
      <c r="I74" s="107"/>
      <c r="J74" s="531"/>
      <c r="K74" s="107"/>
      <c r="L74" s="664"/>
      <c r="M74" s="107"/>
      <c r="N74" s="27"/>
      <c r="O74" s="107"/>
      <c r="P74" s="531"/>
      <c r="Q74" s="107"/>
      <c r="R74" s="664"/>
      <c r="S74" s="107"/>
      <c r="T74" s="27"/>
      <c r="U74" s="107"/>
      <c r="V74" s="531"/>
      <c r="W74" s="107"/>
      <c r="X74" s="531"/>
      <c r="Y74" s="531"/>
      <c r="Z74" s="27"/>
      <c r="AA74" s="107"/>
      <c r="AB74" s="531"/>
      <c r="AC74" s="107"/>
      <c r="AD74" s="531"/>
    </row>
    <row r="75" spans="1:30" s="7" customFormat="1" ht="11.25" x14ac:dyDescent="0.2">
      <c r="A75" s="149" t="s">
        <v>3053</v>
      </c>
      <c r="B75" s="18"/>
      <c r="C75" s="107"/>
      <c r="D75" s="107"/>
      <c r="E75" s="107"/>
      <c r="F75" s="572"/>
      <c r="G75" s="107"/>
      <c r="H75" s="18"/>
      <c r="I75" s="107"/>
      <c r="J75" s="107"/>
      <c r="K75" s="107"/>
      <c r="L75" s="572"/>
      <c r="M75" s="107"/>
      <c r="N75" s="18"/>
      <c r="O75" s="107"/>
      <c r="P75" s="107"/>
      <c r="Q75" s="107"/>
      <c r="R75" s="572"/>
      <c r="S75" s="107"/>
      <c r="T75" s="18"/>
      <c r="U75" s="107"/>
      <c r="V75" s="107"/>
      <c r="W75" s="107"/>
      <c r="X75" s="107"/>
      <c r="Y75" s="107"/>
      <c r="Z75" s="18"/>
      <c r="AA75" s="107"/>
      <c r="AB75" s="107"/>
      <c r="AC75" s="107"/>
      <c r="AD75" s="107"/>
    </row>
    <row r="76" spans="1:30" s="7" customFormat="1" ht="11.25" x14ac:dyDescent="0.2">
      <c r="A76" s="573" t="s">
        <v>3085</v>
      </c>
      <c r="B76" s="18">
        <v>107.49999999999999</v>
      </c>
      <c r="C76" s="107">
        <v>0</v>
      </c>
      <c r="D76" s="107">
        <v>11.900000000000006</v>
      </c>
      <c r="E76" s="107"/>
      <c r="F76" s="107">
        <v>95.6</v>
      </c>
      <c r="G76" s="107">
        <v>0</v>
      </c>
      <c r="H76" s="18">
        <v>563.09999999999991</v>
      </c>
      <c r="I76" s="107">
        <v>0</v>
      </c>
      <c r="J76" s="107">
        <v>324.8</v>
      </c>
      <c r="K76" s="107"/>
      <c r="L76" s="107">
        <v>238.3</v>
      </c>
      <c r="M76" s="107">
        <v>0</v>
      </c>
      <c r="N76" s="18">
        <v>208.8</v>
      </c>
      <c r="O76" s="107">
        <v>0</v>
      </c>
      <c r="P76" s="107">
        <v>206.8</v>
      </c>
      <c r="Q76" s="107"/>
      <c r="R76" s="572">
        <v>2</v>
      </c>
      <c r="S76" s="107">
        <v>0</v>
      </c>
      <c r="T76" s="18">
        <v>-28.400000000000009</v>
      </c>
      <c r="U76" s="107">
        <v>0</v>
      </c>
      <c r="V76" s="107">
        <v>1.7000000000000002</v>
      </c>
      <c r="W76" s="107"/>
      <c r="X76" s="107">
        <v>-30.1</v>
      </c>
      <c r="Y76" s="107">
        <v>0</v>
      </c>
      <c r="Z76" s="18">
        <v>-119.6</v>
      </c>
      <c r="AA76" s="107">
        <v>0</v>
      </c>
      <c r="AB76" s="107">
        <v>-72.499999999999986</v>
      </c>
      <c r="AC76" s="107">
        <v>0</v>
      </c>
      <c r="AD76" s="107">
        <v>-47.1</v>
      </c>
    </row>
    <row r="77" spans="1:30" s="7" customFormat="1" ht="11.25" x14ac:dyDescent="0.2">
      <c r="A77" s="573" t="s">
        <v>3086</v>
      </c>
      <c r="B77" s="18">
        <v>45.699999999999996</v>
      </c>
      <c r="C77" s="107"/>
      <c r="D77" s="107">
        <v>33.6</v>
      </c>
      <c r="E77" s="107"/>
      <c r="F77" s="107">
        <v>12.099999999999998</v>
      </c>
      <c r="G77" s="107"/>
      <c r="H77" s="18">
        <v>50.6</v>
      </c>
      <c r="I77" s="107"/>
      <c r="J77" s="107">
        <v>32</v>
      </c>
      <c r="K77" s="107"/>
      <c r="L77" s="107">
        <v>18.600000000000001</v>
      </c>
      <c r="M77" s="107"/>
      <c r="N77" s="18">
        <v>59.6</v>
      </c>
      <c r="O77" s="107"/>
      <c r="P77" s="107">
        <v>41.400000000000006</v>
      </c>
      <c r="Q77" s="107"/>
      <c r="R77" s="572">
        <v>18.2</v>
      </c>
      <c r="S77" s="107"/>
      <c r="T77" s="18">
        <v>54.6</v>
      </c>
      <c r="U77" s="107"/>
      <c r="V77" s="107">
        <v>34.400000000000006</v>
      </c>
      <c r="W77" s="107"/>
      <c r="X77" s="107">
        <v>20.2</v>
      </c>
      <c r="Y77" s="107"/>
      <c r="Z77" s="18">
        <v>39.9</v>
      </c>
      <c r="AA77" s="107"/>
      <c r="AB77" s="107">
        <v>25.299999999999997</v>
      </c>
      <c r="AC77" s="107"/>
      <c r="AD77" s="107">
        <v>14.6</v>
      </c>
    </row>
    <row r="78" spans="1:30" s="7" customFormat="1" ht="11.25" x14ac:dyDescent="0.2">
      <c r="A78" s="650" t="s">
        <v>3087</v>
      </c>
      <c r="B78" s="25">
        <v>153.19999999999999</v>
      </c>
      <c r="C78" s="108"/>
      <c r="D78" s="108">
        <v>45.5</v>
      </c>
      <c r="E78" s="108"/>
      <c r="F78" s="108">
        <v>107.69999999999999</v>
      </c>
      <c r="G78" s="108"/>
      <c r="H78" s="25">
        <v>613.69999999999993</v>
      </c>
      <c r="I78" s="108"/>
      <c r="J78" s="108">
        <v>356.8</v>
      </c>
      <c r="K78" s="108"/>
      <c r="L78" s="108">
        <v>256.90000000000003</v>
      </c>
      <c r="M78" s="108"/>
      <c r="N78" s="25">
        <v>268.40000000000003</v>
      </c>
      <c r="O78" s="108"/>
      <c r="P78" s="108">
        <v>248.2</v>
      </c>
      <c r="Q78" s="108"/>
      <c r="R78" s="645">
        <v>20.2</v>
      </c>
      <c r="S78" s="108"/>
      <c r="T78" s="25">
        <v>26.199999999999992</v>
      </c>
      <c r="U78" s="108"/>
      <c r="V78" s="108">
        <v>36.1</v>
      </c>
      <c r="W78" s="108"/>
      <c r="X78" s="108">
        <v>-9.9000000000000057</v>
      </c>
      <c r="Y78" s="108"/>
      <c r="Z78" s="25">
        <v>-79.699999999999989</v>
      </c>
      <c r="AA78" s="108"/>
      <c r="AB78" s="108">
        <v>-47.2</v>
      </c>
      <c r="AC78" s="108"/>
      <c r="AD78" s="108">
        <v>-32.5</v>
      </c>
    </row>
    <row r="79" spans="1:30" s="7" customFormat="1" ht="11.25" x14ac:dyDescent="0.2">
      <c r="A79" s="7" t="s">
        <v>26</v>
      </c>
      <c r="B79" s="18">
        <v>188.3</v>
      </c>
      <c r="C79" s="142"/>
      <c r="D79" s="107">
        <v>109.00000000000001</v>
      </c>
      <c r="E79" s="107"/>
      <c r="F79" s="572">
        <v>79.299999999999983</v>
      </c>
      <c r="G79" s="142"/>
      <c r="H79" s="18">
        <v>162.5</v>
      </c>
      <c r="I79" s="142"/>
      <c r="J79" s="107">
        <v>83.4</v>
      </c>
      <c r="K79" s="107"/>
      <c r="L79" s="572">
        <v>79.099999999999994</v>
      </c>
      <c r="M79" s="142"/>
      <c r="N79" s="18">
        <v>140.19999999999999</v>
      </c>
      <c r="O79" s="142"/>
      <c r="P79" s="107">
        <v>69.999999999999986</v>
      </c>
      <c r="Q79" s="107"/>
      <c r="R79" s="572">
        <v>70.199999999999989</v>
      </c>
      <c r="S79" s="142"/>
      <c r="T79" s="18">
        <v>149.29999999999998</v>
      </c>
      <c r="U79" s="142"/>
      <c r="V79" s="107">
        <v>78.200000000000017</v>
      </c>
      <c r="W79" s="107"/>
      <c r="X79" s="107">
        <v>71.099999999999994</v>
      </c>
      <c r="Y79" s="107"/>
      <c r="Z79" s="18">
        <v>179.2</v>
      </c>
      <c r="AA79" s="142"/>
      <c r="AB79" s="107">
        <v>102.6</v>
      </c>
      <c r="AC79" s="107"/>
      <c r="AD79" s="107">
        <v>76.600000000000009</v>
      </c>
    </row>
    <row r="80" spans="1:30" s="7" customFormat="1" ht="11.25" x14ac:dyDescent="0.2">
      <c r="A80" s="544" t="s">
        <v>3056</v>
      </c>
      <c r="B80" s="25">
        <v>341.5</v>
      </c>
      <c r="C80" s="108"/>
      <c r="D80" s="108">
        <v>154.5</v>
      </c>
      <c r="E80" s="108"/>
      <c r="F80" s="645">
        <v>187</v>
      </c>
      <c r="G80" s="108"/>
      <c r="H80" s="25">
        <v>776.2</v>
      </c>
      <c r="I80" s="108"/>
      <c r="J80" s="108">
        <v>440.20000000000005</v>
      </c>
      <c r="K80" s="108"/>
      <c r="L80" s="645">
        <v>336</v>
      </c>
      <c r="M80" s="108"/>
      <c r="N80" s="25">
        <v>408.59999999999997</v>
      </c>
      <c r="O80" s="108"/>
      <c r="P80" s="108">
        <v>318.2</v>
      </c>
      <c r="Q80" s="108"/>
      <c r="R80" s="645">
        <v>90.4</v>
      </c>
      <c r="S80" s="108"/>
      <c r="T80" s="25">
        <v>175.5</v>
      </c>
      <c r="U80" s="108"/>
      <c r="V80" s="108">
        <v>114.30000000000001</v>
      </c>
      <c r="W80" s="108"/>
      <c r="X80" s="108">
        <v>61.199999999999996</v>
      </c>
      <c r="Y80" s="108"/>
      <c r="Z80" s="25">
        <v>99.499999999999986</v>
      </c>
      <c r="AA80" s="108"/>
      <c r="AB80" s="108">
        <v>55.399999999999991</v>
      </c>
      <c r="AC80" s="108"/>
      <c r="AD80" s="108">
        <v>44.099999999999994</v>
      </c>
    </row>
    <row r="81" spans="1:30" s="7" customFormat="1" ht="11.25" x14ac:dyDescent="0.2">
      <c r="A81" s="150"/>
      <c r="B81" s="18"/>
      <c r="C81" s="107"/>
      <c r="D81" s="107"/>
      <c r="E81" s="107"/>
      <c r="F81" s="572"/>
      <c r="G81" s="107"/>
      <c r="H81" s="18"/>
      <c r="I81" s="107"/>
      <c r="J81" s="107"/>
      <c r="K81" s="107"/>
      <c r="L81" s="572"/>
      <c r="M81" s="107"/>
      <c r="N81" s="18"/>
      <c r="O81" s="107"/>
      <c r="P81" s="107"/>
      <c r="Q81" s="107"/>
      <c r="R81" s="572"/>
      <c r="S81" s="107"/>
      <c r="T81" s="18"/>
      <c r="U81" s="107"/>
      <c r="V81" s="107"/>
      <c r="W81" s="107"/>
      <c r="X81" s="107"/>
      <c r="Y81" s="107"/>
      <c r="Z81" s="18"/>
      <c r="AA81" s="107"/>
      <c r="AB81" s="107"/>
      <c r="AC81" s="107"/>
      <c r="AD81" s="107"/>
    </row>
    <row r="82" spans="1:30" s="7" customFormat="1" ht="11.25" x14ac:dyDescent="0.2">
      <c r="A82" s="142" t="s">
        <v>3074</v>
      </c>
      <c r="B82" s="18">
        <v>191.29999999999998</v>
      </c>
      <c r="C82" s="107"/>
      <c r="D82" s="107">
        <v>104.60000000000001</v>
      </c>
      <c r="E82" s="107"/>
      <c r="F82" s="572">
        <v>86.699999999999989</v>
      </c>
      <c r="G82" s="107"/>
      <c r="H82" s="18">
        <v>264.89899999999994</v>
      </c>
      <c r="I82" s="107"/>
      <c r="J82" s="107">
        <v>141.59899999999999</v>
      </c>
      <c r="K82" s="107"/>
      <c r="L82" s="572">
        <v>123.30000000000001</v>
      </c>
      <c r="M82" s="107"/>
      <c r="N82" s="18">
        <v>184.1</v>
      </c>
      <c r="O82" s="107"/>
      <c r="P82" s="107">
        <v>131.4</v>
      </c>
      <c r="Q82" s="107"/>
      <c r="R82" s="572">
        <v>52.699999999999996</v>
      </c>
      <c r="S82" s="107"/>
      <c r="T82" s="18">
        <v>181.3</v>
      </c>
      <c r="U82" s="107"/>
      <c r="V82" s="107">
        <v>94.9</v>
      </c>
      <c r="W82" s="107"/>
      <c r="X82" s="107">
        <v>86.4</v>
      </c>
      <c r="Y82" s="107"/>
      <c r="Z82" s="18">
        <v>207.9</v>
      </c>
      <c r="AA82" s="107"/>
      <c r="AB82" s="107">
        <v>133.4</v>
      </c>
      <c r="AC82" s="107"/>
      <c r="AD82" s="107">
        <v>74.5</v>
      </c>
    </row>
    <row r="83" spans="1:30" s="7" customFormat="1" ht="11.25" x14ac:dyDescent="0.2">
      <c r="A83" s="142" t="s">
        <v>3042</v>
      </c>
      <c r="B83" s="18">
        <v>0.6</v>
      </c>
      <c r="C83" s="109"/>
      <c r="D83" s="107">
        <v>0.19999999999999996</v>
      </c>
      <c r="E83" s="107"/>
      <c r="F83" s="572">
        <v>0.4</v>
      </c>
      <c r="G83" s="109"/>
      <c r="H83" s="18">
        <v>0.8</v>
      </c>
      <c r="I83" s="109"/>
      <c r="J83" s="107">
        <v>-0.19999999999999996</v>
      </c>
      <c r="K83" s="107"/>
      <c r="L83" s="572">
        <v>1</v>
      </c>
      <c r="M83" s="109"/>
      <c r="N83" s="18">
        <v>-1.8</v>
      </c>
      <c r="O83" s="109"/>
      <c r="P83" s="107">
        <v>-1.3</v>
      </c>
      <c r="Q83" s="107"/>
      <c r="R83" s="572">
        <v>-0.5</v>
      </c>
      <c r="S83" s="109"/>
      <c r="T83" s="18">
        <v>-9.9999999999999978E-2</v>
      </c>
      <c r="U83" s="109"/>
      <c r="V83" s="107">
        <v>1.2</v>
      </c>
      <c r="W83" s="107"/>
      <c r="X83" s="107">
        <v>-1.3</v>
      </c>
      <c r="Y83" s="107"/>
      <c r="Z83" s="18">
        <v>-1.7000000000000002</v>
      </c>
      <c r="AA83" s="109"/>
      <c r="AB83" s="107">
        <v>-0.5</v>
      </c>
      <c r="AC83" s="107"/>
      <c r="AD83" s="107">
        <v>-1.2</v>
      </c>
    </row>
    <row r="84" spans="1:30" s="7" customFormat="1" ht="11.25" x14ac:dyDescent="0.2">
      <c r="A84" s="142" t="s">
        <v>28</v>
      </c>
      <c r="B84" s="18">
        <v>-50.1</v>
      </c>
      <c r="C84" s="107"/>
      <c r="D84" s="107">
        <v>-23.400000000000002</v>
      </c>
      <c r="E84" s="107"/>
      <c r="F84" s="572">
        <v>-26.7</v>
      </c>
      <c r="G84" s="107"/>
      <c r="H84" s="18">
        <v>-51.1</v>
      </c>
      <c r="I84" s="107"/>
      <c r="J84" s="107">
        <v>-30.5</v>
      </c>
      <c r="K84" s="107"/>
      <c r="L84" s="572">
        <v>-20.6</v>
      </c>
      <c r="M84" s="107"/>
      <c r="N84" s="18">
        <v>-30.3</v>
      </c>
      <c r="O84" s="107"/>
      <c r="P84" s="107">
        <v>-19.200000000000003</v>
      </c>
      <c r="Q84" s="107"/>
      <c r="R84" s="572">
        <v>-11.1</v>
      </c>
      <c r="S84" s="107"/>
      <c r="T84" s="18">
        <v>-31.7</v>
      </c>
      <c r="U84" s="107"/>
      <c r="V84" s="107">
        <v>-17.600000000000001</v>
      </c>
      <c r="W84" s="107"/>
      <c r="X84" s="107">
        <v>-14.1</v>
      </c>
      <c r="Y84" s="107"/>
      <c r="Z84" s="18">
        <v>-28.080052251607015</v>
      </c>
      <c r="AA84" s="107"/>
      <c r="AB84" s="107">
        <v>-16</v>
      </c>
      <c r="AC84" s="107"/>
      <c r="AD84" s="107">
        <v>-12.1</v>
      </c>
    </row>
    <row r="85" spans="1:30" s="569" customFormat="1" ht="10.5" x14ac:dyDescent="0.2">
      <c r="A85" s="164" t="s">
        <v>3108</v>
      </c>
      <c r="B85" s="165">
        <v>483.29999999999995</v>
      </c>
      <c r="C85" s="166"/>
      <c r="D85" s="166">
        <v>235.9</v>
      </c>
      <c r="E85" s="166"/>
      <c r="F85" s="663">
        <v>247.39999999999998</v>
      </c>
      <c r="G85" s="166"/>
      <c r="H85" s="165">
        <v>990.79899999999998</v>
      </c>
      <c r="I85" s="166"/>
      <c r="J85" s="166">
        <v>551.09899999999993</v>
      </c>
      <c r="K85" s="166"/>
      <c r="L85" s="663">
        <v>439.70000000000005</v>
      </c>
      <c r="M85" s="166"/>
      <c r="N85" s="165">
        <v>560.6</v>
      </c>
      <c r="O85" s="166"/>
      <c r="P85" s="166">
        <v>429.09999999999997</v>
      </c>
      <c r="Q85" s="166"/>
      <c r="R85" s="663">
        <v>131.5</v>
      </c>
      <c r="S85" s="166"/>
      <c r="T85" s="165">
        <v>325</v>
      </c>
      <c r="U85" s="166"/>
      <c r="V85" s="166">
        <v>192.8</v>
      </c>
      <c r="W85" s="166"/>
      <c r="X85" s="541">
        <v>132.19999999999999</v>
      </c>
      <c r="Y85" s="541">
        <v>0</v>
      </c>
      <c r="Z85" s="165">
        <v>277.59999999999997</v>
      </c>
      <c r="AA85" s="166"/>
      <c r="AB85" s="166">
        <v>172.3</v>
      </c>
      <c r="AC85" s="166"/>
      <c r="AD85" s="541">
        <v>105.3</v>
      </c>
    </row>
    <row r="86" spans="1:30" s="7" customFormat="1" ht="11.25" x14ac:dyDescent="0.2">
      <c r="A86" s="142" t="s">
        <v>3103</v>
      </c>
      <c r="B86" s="622">
        <v>396.5</v>
      </c>
      <c r="C86" s="107"/>
      <c r="D86" s="107">
        <v>92.300000000000011</v>
      </c>
      <c r="E86" s="107"/>
      <c r="F86" s="572">
        <v>304.2</v>
      </c>
      <c r="G86" s="107"/>
      <c r="H86" s="622">
        <v>494.40100000000001</v>
      </c>
      <c r="I86" s="107"/>
      <c r="J86" s="107">
        <v>365.90100000000001</v>
      </c>
      <c r="K86" s="107"/>
      <c r="L86" s="572">
        <v>128.5</v>
      </c>
      <c r="M86" s="107"/>
      <c r="N86" s="622">
        <v>5.8</v>
      </c>
      <c r="O86" s="107"/>
      <c r="P86" s="107">
        <v>27.099999999999998</v>
      </c>
      <c r="Q86" s="107"/>
      <c r="R86" s="572">
        <v>-21.299999999999997</v>
      </c>
      <c r="S86" s="107"/>
      <c r="T86" s="622">
        <v>49.5</v>
      </c>
      <c r="U86" s="107"/>
      <c r="V86" s="107">
        <v>22.5</v>
      </c>
      <c r="W86" s="107"/>
      <c r="X86" s="107">
        <v>27</v>
      </c>
      <c r="Y86" s="107"/>
      <c r="Z86" s="622">
        <v>26.1</v>
      </c>
      <c r="AA86" s="107"/>
      <c r="AB86" s="107">
        <v>12.700000000000001</v>
      </c>
      <c r="AC86" s="107"/>
      <c r="AD86" s="107">
        <v>13.4</v>
      </c>
    </row>
    <row r="87" spans="1:30" s="569" customFormat="1" ht="10.5" x14ac:dyDescent="0.2">
      <c r="A87" s="164" t="s">
        <v>3055</v>
      </c>
      <c r="B87" s="542">
        <v>879.8</v>
      </c>
      <c r="C87" s="541"/>
      <c r="D87" s="166">
        <v>328.19999999999993</v>
      </c>
      <c r="E87" s="541"/>
      <c r="F87" s="663">
        <v>551.6</v>
      </c>
      <c r="G87" s="541"/>
      <c r="H87" s="542">
        <v>1485.1999999999998</v>
      </c>
      <c r="I87" s="541">
        <v>0</v>
      </c>
      <c r="J87" s="541">
        <v>917</v>
      </c>
      <c r="K87" s="541">
        <v>0</v>
      </c>
      <c r="L87" s="663">
        <v>568.20000000000005</v>
      </c>
      <c r="M87" s="541">
        <v>0</v>
      </c>
      <c r="N87" s="542">
        <v>566.4</v>
      </c>
      <c r="O87" s="541">
        <v>0</v>
      </c>
      <c r="P87" s="541">
        <v>456.20000000000005</v>
      </c>
      <c r="Q87" s="541">
        <v>0</v>
      </c>
      <c r="R87" s="663">
        <v>110.2</v>
      </c>
      <c r="S87" s="541">
        <v>0</v>
      </c>
      <c r="T87" s="542">
        <v>374.5</v>
      </c>
      <c r="U87" s="541">
        <v>0</v>
      </c>
      <c r="V87" s="541">
        <v>215.3</v>
      </c>
      <c r="W87" s="541">
        <v>0</v>
      </c>
      <c r="X87" s="541">
        <v>159.19999999999999</v>
      </c>
      <c r="Y87" s="541">
        <v>0</v>
      </c>
      <c r="Z87" s="542">
        <v>303.70000000000005</v>
      </c>
      <c r="AA87" s="541">
        <v>0</v>
      </c>
      <c r="AB87" s="541">
        <v>185</v>
      </c>
      <c r="AC87" s="541">
        <v>0</v>
      </c>
      <c r="AD87" s="541">
        <v>118.7</v>
      </c>
    </row>
    <row r="88" spans="1:30" s="7" customFormat="1" ht="11.25" x14ac:dyDescent="0.2">
      <c r="A88" s="149"/>
      <c r="B88" s="18"/>
      <c r="C88" s="107"/>
      <c r="D88" s="107"/>
      <c r="E88" s="107"/>
      <c r="F88" s="572"/>
      <c r="G88" s="107"/>
      <c r="H88" s="18"/>
      <c r="I88" s="107"/>
      <c r="J88" s="107"/>
      <c r="K88" s="107"/>
      <c r="L88" s="572"/>
      <c r="M88" s="107"/>
      <c r="N88" s="18"/>
      <c r="O88" s="107"/>
      <c r="P88" s="107"/>
      <c r="Q88" s="107"/>
      <c r="R88" s="572"/>
      <c r="S88" s="107"/>
      <c r="T88" s="18"/>
      <c r="U88" s="107"/>
      <c r="V88" s="107"/>
      <c r="W88" s="107"/>
      <c r="X88" s="107"/>
      <c r="Y88" s="107"/>
      <c r="Z88" s="18"/>
      <c r="AA88" s="107"/>
      <c r="AB88" s="107"/>
      <c r="AC88" s="107"/>
      <c r="AD88" s="107"/>
    </row>
    <row r="89" spans="1:30" s="7" customFormat="1" ht="34.5" customHeight="1" x14ac:dyDescent="0.2">
      <c r="A89" s="451" t="s">
        <v>347</v>
      </c>
      <c r="B89" s="19"/>
      <c r="C89" s="109"/>
      <c r="D89" s="109"/>
      <c r="E89" s="109"/>
      <c r="F89" s="670"/>
      <c r="G89" s="691"/>
      <c r="H89" s="692"/>
      <c r="I89" s="691"/>
      <c r="J89" s="691"/>
      <c r="K89" s="691"/>
      <c r="L89" s="670"/>
      <c r="M89" s="691"/>
      <c r="N89" s="692"/>
      <c r="O89" s="691"/>
      <c r="P89" s="691"/>
      <c r="Q89" s="691"/>
      <c r="R89" s="670"/>
      <c r="S89" s="691"/>
      <c r="T89" s="692"/>
      <c r="U89" s="691"/>
      <c r="V89" s="691"/>
      <c r="W89" s="691"/>
      <c r="X89" s="691"/>
      <c r="Y89" s="691"/>
      <c r="Z89" s="692"/>
      <c r="AA89" s="691"/>
      <c r="AB89" s="691"/>
      <c r="AC89" s="691"/>
      <c r="AD89" s="691"/>
    </row>
    <row r="90" spans="1:30" s="7" customFormat="1" ht="11.25" x14ac:dyDescent="0.2">
      <c r="A90" s="142" t="s">
        <v>346</v>
      </c>
      <c r="B90" s="27">
        <v>3542</v>
      </c>
      <c r="C90" s="109"/>
      <c r="D90" s="107">
        <v>3542</v>
      </c>
      <c r="E90" s="107"/>
      <c r="F90" s="572">
        <v>3526.3</v>
      </c>
      <c r="G90" s="109"/>
      <c r="H90" s="27">
        <v>3544.2</v>
      </c>
      <c r="I90" s="109"/>
      <c r="J90" s="107">
        <v>3544.2</v>
      </c>
      <c r="K90" s="107"/>
      <c r="L90" s="572">
        <v>3412.5</v>
      </c>
      <c r="M90" s="109"/>
      <c r="N90" s="27">
        <v>3435.3050140230239</v>
      </c>
      <c r="O90" s="109"/>
      <c r="P90" s="107">
        <v>3435.3050140230239</v>
      </c>
      <c r="Q90" s="107"/>
      <c r="R90" s="572">
        <v>3504.2827230980101</v>
      </c>
      <c r="S90" s="109"/>
      <c r="T90" s="27">
        <v>3549.2147479217861</v>
      </c>
      <c r="U90" s="109"/>
      <c r="V90" s="107">
        <v>3549.2147479217861</v>
      </c>
      <c r="W90" s="107"/>
      <c r="X90" s="107">
        <v>3589.3197918835872</v>
      </c>
      <c r="Y90" s="107"/>
      <c r="Z90" s="27">
        <v>3412.7970332138984</v>
      </c>
      <c r="AA90" s="109"/>
      <c r="AB90" s="107">
        <v>3412.7970332138984</v>
      </c>
      <c r="AC90" s="107"/>
      <c r="AD90" s="107">
        <v>3350.8793633917026</v>
      </c>
    </row>
    <row r="91" spans="1:30" s="7" customFormat="1" ht="11.25" x14ac:dyDescent="0.2">
      <c r="A91" s="142" t="s">
        <v>3110</v>
      </c>
      <c r="B91" s="27">
        <v>2279</v>
      </c>
      <c r="C91" s="109"/>
      <c r="D91" s="107">
        <v>2279</v>
      </c>
      <c r="E91" s="107"/>
      <c r="F91" s="572">
        <v>2057.1999999999998</v>
      </c>
      <c r="G91" s="109"/>
      <c r="H91" s="27">
        <v>4277.8</v>
      </c>
      <c r="I91" s="109"/>
      <c r="J91" s="107">
        <v>4277.8</v>
      </c>
      <c r="K91" s="107"/>
      <c r="L91" s="572">
        <v>3645</v>
      </c>
      <c r="M91" s="109"/>
      <c r="N91" s="27">
        <v>3862.9892065336999</v>
      </c>
      <c r="O91" s="109"/>
      <c r="P91" s="107">
        <v>3862.9892065336999</v>
      </c>
      <c r="Q91" s="107"/>
      <c r="R91" s="572">
        <v>3767.2035109294598</v>
      </c>
      <c r="S91" s="109"/>
      <c r="T91" s="27">
        <v>3942.17665895657</v>
      </c>
      <c r="U91" s="109"/>
      <c r="V91" s="107">
        <v>3942.17665895657</v>
      </c>
      <c r="W91" s="107"/>
      <c r="X91" s="107">
        <v>4597.3</v>
      </c>
      <c r="Y91" s="107"/>
      <c r="Z91" s="27">
        <v>4187.7639193372397</v>
      </c>
      <c r="AA91" s="109"/>
      <c r="AB91" s="107">
        <v>4187.7639193372397</v>
      </c>
      <c r="AC91" s="107"/>
      <c r="AD91" s="107">
        <v>3948</v>
      </c>
    </row>
    <row r="92" spans="1:30" s="7" customFormat="1" ht="11.25" x14ac:dyDescent="0.2">
      <c r="A92" s="142" t="s">
        <v>218</v>
      </c>
      <c r="B92" s="27">
        <v>450.1</v>
      </c>
      <c r="C92" s="109"/>
      <c r="D92" s="107">
        <v>450.1</v>
      </c>
      <c r="E92" s="107"/>
      <c r="F92" s="572">
        <v>414.7</v>
      </c>
      <c r="G92" s="109"/>
      <c r="H92" s="27">
        <v>371.29999999999995</v>
      </c>
      <c r="I92" s="109"/>
      <c r="J92" s="107">
        <v>371.29999999999995</v>
      </c>
      <c r="K92" s="107"/>
      <c r="L92" s="572">
        <v>228.10000000000002</v>
      </c>
      <c r="M92" s="109"/>
      <c r="N92" s="27">
        <v>227.29999999999998</v>
      </c>
      <c r="O92" s="109"/>
      <c r="P92" s="107">
        <v>227.29999999999998</v>
      </c>
      <c r="Q92" s="107"/>
      <c r="R92" s="572">
        <v>210.10000000000002</v>
      </c>
      <c r="S92" s="109"/>
      <c r="T92" s="27">
        <v>200.1</v>
      </c>
      <c r="U92" s="109"/>
      <c r="V92" s="107">
        <v>200.1</v>
      </c>
      <c r="W92" s="107"/>
      <c r="X92" s="107">
        <v>220.5</v>
      </c>
      <c r="Y92" s="107"/>
      <c r="Z92" s="27">
        <v>195.6</v>
      </c>
      <c r="AA92" s="109"/>
      <c r="AB92" s="107">
        <v>195.6</v>
      </c>
      <c r="AC92" s="107"/>
      <c r="AD92" s="107">
        <v>238.39999999999998</v>
      </c>
    </row>
    <row r="93" spans="1:30" s="20" customFormat="1" ht="11.25" x14ac:dyDescent="0.2">
      <c r="A93" s="164" t="s">
        <v>348</v>
      </c>
      <c r="B93" s="165">
        <v>6271.1</v>
      </c>
      <c r="C93" s="166"/>
      <c r="D93" s="166">
        <v>6271.1</v>
      </c>
      <c r="E93" s="166"/>
      <c r="F93" s="669">
        <v>5998.2</v>
      </c>
      <c r="G93" s="166"/>
      <c r="H93" s="165">
        <v>8193.2999999999993</v>
      </c>
      <c r="I93" s="166"/>
      <c r="J93" s="166">
        <v>8193.2999999999993</v>
      </c>
      <c r="K93" s="166"/>
      <c r="L93" s="669">
        <v>7285.6</v>
      </c>
      <c r="M93" s="166"/>
      <c r="N93" s="165">
        <v>7525.5999999999995</v>
      </c>
      <c r="O93" s="166"/>
      <c r="P93" s="166">
        <v>7525.5999999999995</v>
      </c>
      <c r="Q93" s="166"/>
      <c r="R93" s="669">
        <v>7481.5999999999995</v>
      </c>
      <c r="S93" s="166"/>
      <c r="T93" s="165">
        <v>7691.5126626419133</v>
      </c>
      <c r="U93" s="166"/>
      <c r="V93" s="166">
        <v>7691.5</v>
      </c>
      <c r="W93" s="166"/>
      <c r="X93" s="166">
        <v>8407.0528533879242</v>
      </c>
      <c r="Y93" s="166"/>
      <c r="Z93" s="165">
        <v>7796.2</v>
      </c>
      <c r="AA93" s="166"/>
      <c r="AB93" s="166">
        <v>7796.2</v>
      </c>
      <c r="AC93" s="166"/>
      <c r="AD93" s="166">
        <v>7537.3000000000011</v>
      </c>
    </row>
    <row r="94" spans="1:30" s="7" customFormat="1" ht="11.25" x14ac:dyDescent="0.2">
      <c r="A94" s="149"/>
      <c r="B94" s="18"/>
      <c r="C94" s="142"/>
      <c r="D94" s="142"/>
      <c r="E94" s="142"/>
      <c r="F94" s="573"/>
      <c r="G94" s="142"/>
      <c r="H94" s="18"/>
      <c r="I94" s="142"/>
      <c r="J94" s="142"/>
      <c r="K94" s="142"/>
      <c r="L94" s="573"/>
      <c r="M94" s="142"/>
      <c r="N94" s="18"/>
      <c r="O94" s="142"/>
      <c r="P94" s="142"/>
      <c r="Q94" s="142"/>
      <c r="R94" s="573"/>
      <c r="S94" s="142"/>
      <c r="T94" s="18"/>
      <c r="U94" s="142"/>
      <c r="V94" s="142"/>
      <c r="W94" s="142"/>
      <c r="X94" s="142"/>
      <c r="Y94" s="142"/>
      <c r="Z94" s="18"/>
      <c r="AA94" s="142"/>
      <c r="AB94" s="142"/>
      <c r="AC94" s="142"/>
      <c r="AD94" s="142"/>
    </row>
    <row r="95" spans="1:30" s="7" customFormat="1" ht="11.25" x14ac:dyDescent="0.2">
      <c r="A95" s="149" t="s">
        <v>11</v>
      </c>
      <c r="B95" s="18"/>
      <c r="C95" s="142"/>
      <c r="D95" s="142"/>
      <c r="E95" s="142"/>
      <c r="F95" s="573"/>
      <c r="G95" s="142"/>
      <c r="H95" s="18"/>
      <c r="I95" s="142"/>
      <c r="J95" s="142"/>
      <c r="K95" s="142"/>
      <c r="L95" s="573"/>
      <c r="M95" s="142"/>
      <c r="N95" s="18"/>
      <c r="O95" s="142"/>
      <c r="P95" s="142"/>
      <c r="Q95" s="142"/>
      <c r="R95" s="573"/>
      <c r="S95" s="142"/>
      <c r="T95" s="18"/>
      <c r="U95" s="142"/>
      <c r="V95" s="142"/>
      <c r="W95" s="142"/>
      <c r="X95" s="142"/>
      <c r="Y95" s="142"/>
      <c r="Z95" s="18"/>
      <c r="AA95" s="142"/>
      <c r="AB95" s="142"/>
      <c r="AC95" s="142"/>
      <c r="AD95" s="142"/>
    </row>
    <row r="96" spans="1:30" s="7" customFormat="1" ht="11.25" x14ac:dyDescent="0.2">
      <c r="A96" s="142" t="s">
        <v>15</v>
      </c>
      <c r="B96" s="18">
        <v>879.8</v>
      </c>
      <c r="C96" s="142"/>
      <c r="D96" s="107">
        <v>328.19999999999993</v>
      </c>
      <c r="E96" s="107"/>
      <c r="F96" s="572">
        <v>551.6</v>
      </c>
      <c r="G96" s="142"/>
      <c r="H96" s="18">
        <v>1485.2</v>
      </c>
      <c r="I96" s="142"/>
      <c r="J96" s="107">
        <v>917</v>
      </c>
      <c r="K96" s="107"/>
      <c r="L96" s="572">
        <v>568.19999999999993</v>
      </c>
      <c r="M96" s="142"/>
      <c r="N96" s="18">
        <v>566.40000000000009</v>
      </c>
      <c r="O96" s="142"/>
      <c r="P96" s="107">
        <v>456.2</v>
      </c>
      <c r="Q96" s="107"/>
      <c r="R96" s="572">
        <v>110.19999999999999</v>
      </c>
      <c r="S96" s="142"/>
      <c r="T96" s="18">
        <v>374.5</v>
      </c>
      <c r="U96" s="142"/>
      <c r="V96" s="107">
        <v>215.3</v>
      </c>
      <c r="W96" s="107"/>
      <c r="X96" s="107">
        <v>159.19999999999999</v>
      </c>
      <c r="Y96" s="107"/>
      <c r="Z96" s="18">
        <v>303.69999999999993</v>
      </c>
      <c r="AA96" s="142"/>
      <c r="AB96" s="107">
        <v>185</v>
      </c>
      <c r="AC96" s="107"/>
      <c r="AD96" s="107">
        <v>118.7</v>
      </c>
    </row>
    <row r="97" spans="1:30" s="7" customFormat="1" ht="11.25" x14ac:dyDescent="0.2">
      <c r="A97" s="142" t="s">
        <v>16</v>
      </c>
      <c r="B97" s="18">
        <v>-148.69999999999999</v>
      </c>
      <c r="C97" s="142"/>
      <c r="D97" s="107">
        <v>-76.099999999999994</v>
      </c>
      <c r="E97" s="107"/>
      <c r="F97" s="572">
        <v>-72.599999999999994</v>
      </c>
      <c r="G97" s="142"/>
      <c r="H97" s="18">
        <v>-107.2</v>
      </c>
      <c r="I97" s="142"/>
      <c r="J97" s="107">
        <v>-61.400000000000006</v>
      </c>
      <c r="K97" s="107"/>
      <c r="L97" s="572">
        <v>-45.8</v>
      </c>
      <c r="M97" s="142"/>
      <c r="N97" s="18">
        <v>-112.8</v>
      </c>
      <c r="O97" s="142"/>
      <c r="P97" s="107">
        <v>-49.3</v>
      </c>
      <c r="Q97" s="107"/>
      <c r="R97" s="572">
        <v>-63.5</v>
      </c>
      <c r="S97" s="142"/>
      <c r="T97" s="18">
        <v>-135.69999999999999</v>
      </c>
      <c r="U97" s="142"/>
      <c r="V97" s="107">
        <v>-60.399999999999991</v>
      </c>
      <c r="W97" s="107"/>
      <c r="X97" s="107">
        <v>-75.269155721364399</v>
      </c>
      <c r="Y97" s="107"/>
      <c r="Z97" s="18">
        <v>-144.1</v>
      </c>
      <c r="AA97" s="142"/>
      <c r="AB97" s="107">
        <v>-76.5</v>
      </c>
      <c r="AC97" s="107"/>
      <c r="AD97" s="107">
        <v>-67.599999999999994</v>
      </c>
    </row>
    <row r="98" spans="1:30" s="7" customFormat="1" ht="11.25" x14ac:dyDescent="0.2">
      <c r="A98" s="142" t="s">
        <v>17</v>
      </c>
      <c r="B98" s="25">
        <v>731.09999999999991</v>
      </c>
      <c r="C98" s="166"/>
      <c r="D98" s="108">
        <v>252.10000000000002</v>
      </c>
      <c r="E98" s="166"/>
      <c r="F98" s="645">
        <v>479</v>
      </c>
      <c r="G98" s="166"/>
      <c r="H98" s="25">
        <v>1378</v>
      </c>
      <c r="I98" s="166"/>
      <c r="J98" s="108">
        <v>855.6</v>
      </c>
      <c r="K98" s="166"/>
      <c r="L98" s="645">
        <v>522.40000000000009</v>
      </c>
      <c r="M98" s="166"/>
      <c r="N98" s="25">
        <v>453.59999999999997</v>
      </c>
      <c r="O98" s="166"/>
      <c r="P98" s="108">
        <v>406.90000000000003</v>
      </c>
      <c r="Q98" s="166"/>
      <c r="R98" s="645">
        <v>46.7</v>
      </c>
      <c r="S98" s="166"/>
      <c r="T98" s="25">
        <v>238.8</v>
      </c>
      <c r="U98" s="166"/>
      <c r="V98" s="108">
        <v>154.9</v>
      </c>
      <c r="W98" s="166"/>
      <c r="X98" s="108">
        <v>83.93084427863559</v>
      </c>
      <c r="Y98" s="108"/>
      <c r="Z98" s="25">
        <v>159.59999999999994</v>
      </c>
      <c r="AA98" s="166"/>
      <c r="AB98" s="108">
        <v>108.5</v>
      </c>
      <c r="AC98" s="166"/>
      <c r="AD98" s="108">
        <v>51.100000000000009</v>
      </c>
    </row>
    <row r="99" spans="1:30" s="7" customFormat="1" ht="11.25" x14ac:dyDescent="0.2">
      <c r="A99" s="142" t="s">
        <v>3080</v>
      </c>
      <c r="B99" s="18">
        <v>-149.19999999999999</v>
      </c>
      <c r="C99" s="142"/>
      <c r="D99" s="107">
        <v>-31.899999999999991</v>
      </c>
      <c r="E99" s="107"/>
      <c r="F99" s="572">
        <v>-117.3</v>
      </c>
      <c r="G99" s="142"/>
      <c r="H99" s="18">
        <v>-350.8</v>
      </c>
      <c r="I99" s="142"/>
      <c r="J99" s="107">
        <v>-212.4</v>
      </c>
      <c r="K99" s="107"/>
      <c r="L99" s="572">
        <v>-138.4</v>
      </c>
      <c r="M99" s="142"/>
      <c r="N99" s="18">
        <v>-95</v>
      </c>
      <c r="O99" s="142"/>
      <c r="P99" s="107">
        <v>-84.7</v>
      </c>
      <c r="Q99" s="107"/>
      <c r="R99" s="572">
        <v>-10.3</v>
      </c>
      <c r="S99" s="142"/>
      <c r="T99" s="18">
        <v>-50.6</v>
      </c>
      <c r="U99" s="142"/>
      <c r="V99" s="107">
        <v>-31.3</v>
      </c>
      <c r="W99" s="107"/>
      <c r="X99" s="107">
        <v>-19.257988650482201</v>
      </c>
      <c r="Y99" s="107"/>
      <c r="Z99" s="18">
        <v>-7.5</v>
      </c>
      <c r="AA99" s="142"/>
      <c r="AB99" s="107">
        <v>2</v>
      </c>
      <c r="AC99" s="107"/>
      <c r="AD99" s="107">
        <v>-9.5</v>
      </c>
    </row>
    <row r="100" spans="1:30" x14ac:dyDescent="0.2">
      <c r="A100" s="544" t="s">
        <v>3031</v>
      </c>
      <c r="B100" s="25">
        <v>581.89999999999986</v>
      </c>
      <c r="C100" s="108"/>
      <c r="D100" s="108">
        <v>220.2</v>
      </c>
      <c r="E100" s="108"/>
      <c r="F100" s="645">
        <v>361.7</v>
      </c>
      <c r="G100" s="108"/>
      <c r="H100" s="25">
        <v>1027.2</v>
      </c>
      <c r="I100" s="108"/>
      <c r="J100" s="108">
        <v>643.20000000000005</v>
      </c>
      <c r="K100" s="108"/>
      <c r="L100" s="645">
        <v>384.00000000000011</v>
      </c>
      <c r="M100" s="108"/>
      <c r="N100" s="25">
        <v>358.59999999999997</v>
      </c>
      <c r="O100" s="108"/>
      <c r="P100" s="108">
        <v>322.20000000000005</v>
      </c>
      <c r="Q100" s="108"/>
      <c r="R100" s="645">
        <v>36.400000000000006</v>
      </c>
      <c r="S100" s="108"/>
      <c r="T100" s="25">
        <v>188.20000000000002</v>
      </c>
      <c r="U100" s="108"/>
      <c r="V100" s="108">
        <v>123.6</v>
      </c>
      <c r="W100" s="108"/>
      <c r="X100" s="108">
        <v>64.572855628153391</v>
      </c>
      <c r="Y100" s="108"/>
      <c r="Z100" s="25">
        <v>152.1</v>
      </c>
      <c r="AA100" s="108"/>
      <c r="AB100" s="108">
        <v>110.5</v>
      </c>
      <c r="AC100" s="108"/>
      <c r="AD100" s="108">
        <v>41.6</v>
      </c>
    </row>
    <row r="101" spans="1:30" x14ac:dyDescent="0.2">
      <c r="A101" s="142" t="s">
        <v>3032</v>
      </c>
      <c r="B101" s="18">
        <v>-30.8</v>
      </c>
      <c r="C101" s="142"/>
      <c r="D101" s="107">
        <v>-18.899999999999999</v>
      </c>
      <c r="E101" s="107"/>
      <c r="F101" s="572">
        <v>-11.9</v>
      </c>
      <c r="G101" s="142"/>
      <c r="H101" s="18">
        <v>-19.2</v>
      </c>
      <c r="I101" s="142"/>
      <c r="J101" s="107">
        <v>-19.2</v>
      </c>
      <c r="K101" s="107"/>
      <c r="L101" s="572">
        <v>0</v>
      </c>
      <c r="M101" s="142"/>
      <c r="N101" s="18">
        <v>-293.39999999999998</v>
      </c>
      <c r="O101" s="142"/>
      <c r="P101" s="107">
        <v>-293.39999999999998</v>
      </c>
      <c r="Q101" s="107"/>
      <c r="R101" s="572">
        <v>0</v>
      </c>
      <c r="S101" s="142"/>
      <c r="T101" s="18">
        <v>-87.9</v>
      </c>
      <c r="U101" s="142"/>
      <c r="V101" s="107">
        <v>-87.9</v>
      </c>
      <c r="W101" s="107"/>
      <c r="X101" s="13">
        <v>0</v>
      </c>
      <c r="Y101" s="107"/>
      <c r="Z101" s="18">
        <v>0</v>
      </c>
      <c r="AA101" s="142"/>
      <c r="AB101" s="107">
        <v>0</v>
      </c>
      <c r="AC101" s="107"/>
      <c r="AD101" s="13">
        <v>0</v>
      </c>
    </row>
    <row r="102" spans="1:30" x14ac:dyDescent="0.2">
      <c r="A102" s="142" t="s">
        <v>3078</v>
      </c>
      <c r="B102" s="18">
        <v>8.6999999999999993</v>
      </c>
      <c r="C102" s="142"/>
      <c r="D102" s="107">
        <v>5.0999999999999996</v>
      </c>
      <c r="E102" s="107"/>
      <c r="F102" s="572">
        <v>3.6</v>
      </c>
      <c r="G102" s="142"/>
      <c r="H102" s="18">
        <v>5.8</v>
      </c>
      <c r="I102" s="142"/>
      <c r="J102" s="107">
        <v>5.8</v>
      </c>
      <c r="K102" s="107"/>
      <c r="L102" s="572">
        <v>0</v>
      </c>
      <c r="M102" s="142"/>
      <c r="N102" s="18">
        <v>83.9</v>
      </c>
      <c r="O102" s="142"/>
      <c r="P102" s="107">
        <v>83.9</v>
      </c>
      <c r="Q102" s="107"/>
      <c r="R102" s="572">
        <v>0</v>
      </c>
      <c r="S102" s="142"/>
      <c r="T102" s="18">
        <v>23.1</v>
      </c>
      <c r="U102" s="142"/>
      <c r="V102" s="107">
        <v>23.1</v>
      </c>
      <c r="W102" s="107"/>
      <c r="X102" s="13">
        <v>0</v>
      </c>
      <c r="Y102" s="107"/>
      <c r="Z102" s="18">
        <v>0</v>
      </c>
      <c r="AA102" s="142"/>
      <c r="AB102" s="107">
        <v>0</v>
      </c>
      <c r="AC102" s="107"/>
      <c r="AD102" s="13">
        <v>0</v>
      </c>
    </row>
    <row r="103" spans="1:30" s="553" customFormat="1" x14ac:dyDescent="0.2">
      <c r="A103" s="164" t="s">
        <v>3033</v>
      </c>
      <c r="B103" s="170">
        <v>559.80000000000007</v>
      </c>
      <c r="C103" s="169"/>
      <c r="D103" s="171">
        <v>206.39999999999998</v>
      </c>
      <c r="E103" s="171"/>
      <c r="F103" s="671">
        <v>353.40000000000003</v>
      </c>
      <c r="G103" s="169"/>
      <c r="H103" s="170">
        <v>1013.8</v>
      </c>
      <c r="I103" s="169"/>
      <c r="J103" s="171">
        <v>629.79999999999995</v>
      </c>
      <c r="K103" s="171"/>
      <c r="L103" s="671">
        <v>384</v>
      </c>
      <c r="M103" s="169"/>
      <c r="N103" s="170">
        <v>149.10000000000005</v>
      </c>
      <c r="O103" s="169"/>
      <c r="P103" s="171">
        <v>112.69999999999999</v>
      </c>
      <c r="Q103" s="171"/>
      <c r="R103" s="671">
        <v>36.4</v>
      </c>
      <c r="S103" s="169"/>
      <c r="T103" s="170">
        <v>123.39999999999999</v>
      </c>
      <c r="U103" s="169"/>
      <c r="V103" s="171">
        <v>58.800000000000011</v>
      </c>
      <c r="W103" s="171"/>
      <c r="X103" s="171">
        <v>64.572855628153391</v>
      </c>
      <c r="Y103" s="171"/>
      <c r="Z103" s="170">
        <v>152.1</v>
      </c>
      <c r="AA103" s="169"/>
      <c r="AB103" s="171">
        <v>110.5</v>
      </c>
      <c r="AC103" s="171"/>
      <c r="AD103" s="171">
        <v>41.6</v>
      </c>
    </row>
    <row r="104" spans="1:30" x14ac:dyDescent="0.2">
      <c r="A104" s="142" t="s">
        <v>61</v>
      </c>
      <c r="B104" s="18">
        <v>560</v>
      </c>
      <c r="C104" s="142"/>
      <c r="D104" s="107">
        <v>206.39999999999998</v>
      </c>
      <c r="E104" s="107"/>
      <c r="F104" s="572">
        <v>353.6</v>
      </c>
      <c r="G104" s="142"/>
      <c r="H104" s="18">
        <v>1013.7</v>
      </c>
      <c r="I104" s="142"/>
      <c r="J104" s="107">
        <v>629.6</v>
      </c>
      <c r="K104" s="107"/>
      <c r="L104" s="572">
        <v>384.1</v>
      </c>
      <c r="M104" s="142"/>
      <c r="N104" s="18">
        <v>149.10000000000005</v>
      </c>
      <c r="O104" s="142"/>
      <c r="P104" s="107">
        <v>112.69999999999999</v>
      </c>
      <c r="Q104" s="107"/>
      <c r="R104" s="572">
        <v>36.4</v>
      </c>
      <c r="S104" s="142"/>
      <c r="T104" s="18">
        <v>123.39999999999999</v>
      </c>
      <c r="U104" s="142"/>
      <c r="V104" s="107">
        <v>58.800000000000011</v>
      </c>
      <c r="W104" s="107"/>
      <c r="X104" s="107">
        <v>64.572855628153391</v>
      </c>
      <c r="Y104" s="107"/>
      <c r="Z104" s="18">
        <v>152.4</v>
      </c>
      <c r="AA104" s="142"/>
      <c r="AB104" s="107">
        <v>110.5</v>
      </c>
      <c r="AC104" s="107"/>
      <c r="AD104" s="107">
        <v>41.9</v>
      </c>
    </row>
    <row r="105" spans="1:30" x14ac:dyDescent="0.2">
      <c r="A105" s="142" t="s">
        <v>62</v>
      </c>
      <c r="B105" s="18">
        <v>-0.2</v>
      </c>
      <c r="C105" s="142"/>
      <c r="D105" s="107">
        <v>0</v>
      </c>
      <c r="E105" s="107"/>
      <c r="F105" s="572">
        <v>-0.2</v>
      </c>
      <c r="G105" s="142"/>
      <c r="H105" s="18">
        <v>0.1</v>
      </c>
      <c r="I105" s="142"/>
      <c r="J105" s="107">
        <v>0.2</v>
      </c>
      <c r="K105" s="107"/>
      <c r="L105" s="572">
        <v>-0.1</v>
      </c>
      <c r="M105" s="142"/>
      <c r="N105" s="18">
        <v>0</v>
      </c>
      <c r="O105" s="142"/>
      <c r="P105" s="107">
        <v>0</v>
      </c>
      <c r="Q105" s="107"/>
      <c r="R105" s="572">
        <v>0</v>
      </c>
      <c r="S105" s="142"/>
      <c r="T105" s="18">
        <v>0</v>
      </c>
      <c r="U105" s="142"/>
      <c r="V105" s="107">
        <v>0</v>
      </c>
      <c r="W105" s="107"/>
      <c r="X105" s="107">
        <v>0</v>
      </c>
      <c r="Y105" s="107"/>
      <c r="Z105" s="18">
        <v>-0.3</v>
      </c>
      <c r="AA105" s="142"/>
      <c r="AB105" s="107">
        <v>0</v>
      </c>
      <c r="AC105" s="107"/>
      <c r="AD105" s="107">
        <v>-0.3</v>
      </c>
    </row>
    <row r="106" spans="1:30" ht="13.9" customHeight="1" x14ac:dyDescent="0.2"/>
    <row r="107" spans="1:30" s="21" customFormat="1" ht="13.9" customHeight="1" x14ac:dyDescent="0.2">
      <c r="A107" s="592"/>
      <c r="B107" s="593" t="s">
        <v>3076</v>
      </c>
      <c r="C107" s="592"/>
      <c r="D107" s="593" t="s">
        <v>3076</v>
      </c>
      <c r="E107" s="592"/>
      <c r="F107" s="593" t="s">
        <v>3076</v>
      </c>
      <c r="G107" s="592"/>
      <c r="H107" s="593" t="s">
        <v>3076</v>
      </c>
      <c r="I107" s="592"/>
      <c r="J107" s="593" t="s">
        <v>3076</v>
      </c>
      <c r="K107" s="592"/>
      <c r="L107" s="593" t="s">
        <v>3076</v>
      </c>
      <c r="M107" s="592"/>
      <c r="N107" s="593" t="s">
        <v>3076</v>
      </c>
      <c r="O107" s="592"/>
      <c r="P107" s="593" t="s">
        <v>3076</v>
      </c>
      <c r="Q107" s="592"/>
      <c r="R107" s="593" t="s">
        <v>3076</v>
      </c>
      <c r="S107" s="592"/>
      <c r="T107" s="593" t="s">
        <v>3076</v>
      </c>
      <c r="U107" s="592"/>
      <c r="V107" s="593" t="s">
        <v>3076</v>
      </c>
      <c r="W107" s="592"/>
      <c r="X107" s="593" t="s">
        <v>3076</v>
      </c>
      <c r="Y107" s="592"/>
      <c r="Z107" s="593" t="s">
        <v>3076</v>
      </c>
      <c r="AA107" s="592"/>
      <c r="AB107" s="593" t="s">
        <v>3076</v>
      </c>
      <c r="AC107" s="592"/>
      <c r="AD107" s="593" t="s">
        <v>3076</v>
      </c>
    </row>
    <row r="108" spans="1:30" ht="13.9" customHeight="1" x14ac:dyDescent="0.2"/>
    <row r="109" spans="1:30" x14ac:dyDescent="0.2">
      <c r="A109" s="648" t="s">
        <v>3070</v>
      </c>
    </row>
    <row r="110" spans="1:30" s="7" customFormat="1" ht="11.25" x14ac:dyDescent="0.2">
      <c r="A110" s="142" t="s">
        <v>49</v>
      </c>
      <c r="B110" s="27">
        <v>178.8</v>
      </c>
      <c r="C110" s="109"/>
      <c r="D110" s="107">
        <v>98.100000000000009</v>
      </c>
      <c r="E110" s="107"/>
      <c r="F110" s="107">
        <v>80.7</v>
      </c>
      <c r="G110" s="109"/>
      <c r="H110" s="27">
        <v>181.1</v>
      </c>
      <c r="I110" s="109"/>
      <c r="J110" s="107">
        <v>92.699999999999989</v>
      </c>
      <c r="K110" s="107"/>
      <c r="L110" s="107">
        <v>88.4</v>
      </c>
      <c r="M110" s="109"/>
      <c r="N110" s="27">
        <v>204.16158461632966</v>
      </c>
      <c r="O110" s="109"/>
      <c r="P110" s="107">
        <v>121.69999999999999</v>
      </c>
      <c r="Q110" s="107"/>
      <c r="R110" s="107">
        <v>82.5</v>
      </c>
      <c r="S110" s="109"/>
      <c r="T110" s="27">
        <v>195.39999999999998</v>
      </c>
      <c r="U110" s="109"/>
      <c r="V110" s="107">
        <v>101.80000000000001</v>
      </c>
      <c r="W110" s="107"/>
      <c r="X110" s="107">
        <v>93.6</v>
      </c>
      <c r="Y110" s="107"/>
      <c r="Z110" s="27">
        <v>197.58751000000001</v>
      </c>
      <c r="AA110" s="109"/>
      <c r="AB110" s="107">
        <v>111.8</v>
      </c>
      <c r="AC110" s="107"/>
      <c r="AD110" s="107">
        <v>85.841619533953988</v>
      </c>
    </row>
    <row r="111" spans="1:30" s="7" customFormat="1" ht="11.25" x14ac:dyDescent="0.2">
      <c r="A111" s="142" t="s">
        <v>3066</v>
      </c>
      <c r="B111" s="27">
        <v>271.39999999999998</v>
      </c>
      <c r="C111" s="109"/>
      <c r="D111" s="107">
        <v>61.299999999999983</v>
      </c>
      <c r="E111" s="107"/>
      <c r="F111" s="107">
        <v>210.1</v>
      </c>
      <c r="G111" s="109"/>
      <c r="H111" s="27">
        <v>387.8</v>
      </c>
      <c r="I111" s="109"/>
      <c r="J111" s="107">
        <v>273.20000000000005</v>
      </c>
      <c r="K111" s="107"/>
      <c r="L111" s="107">
        <v>114.6</v>
      </c>
      <c r="M111" s="109"/>
      <c r="N111" s="27">
        <v>41.376698903999987</v>
      </c>
      <c r="O111" s="109"/>
      <c r="P111" s="107">
        <v>45.199999999999996</v>
      </c>
      <c r="Q111" s="107"/>
      <c r="R111" s="107">
        <v>-3.8</v>
      </c>
      <c r="S111" s="109"/>
      <c r="T111" s="27">
        <v>61.129999999999995</v>
      </c>
      <c r="U111" s="109"/>
      <c r="V111" s="107">
        <v>28.9</v>
      </c>
      <c r="W111" s="107"/>
      <c r="X111" s="107">
        <v>32.200000000000003</v>
      </c>
      <c r="Y111" s="107"/>
      <c r="Z111" s="27">
        <v>47.48545</v>
      </c>
      <c r="AA111" s="109"/>
      <c r="AB111" s="107">
        <v>23.8</v>
      </c>
      <c r="AC111" s="107"/>
      <c r="AD111" s="107">
        <v>23.654348419999899</v>
      </c>
    </row>
    <row r="112" spans="1:30" s="7" customFormat="1" ht="11.25" x14ac:dyDescent="0.2">
      <c r="A112" s="142" t="s">
        <v>3067</v>
      </c>
      <c r="B112" s="27">
        <v>24.4</v>
      </c>
      <c r="C112" s="109"/>
      <c r="D112" s="107">
        <v>9.9999999999999982</v>
      </c>
      <c r="E112" s="107"/>
      <c r="F112" s="107">
        <v>14.4</v>
      </c>
      <c r="G112" s="109"/>
      <c r="H112" s="27">
        <v>92.4</v>
      </c>
      <c r="I112" s="109"/>
      <c r="J112" s="107">
        <v>48.500000000000007</v>
      </c>
      <c r="K112" s="107"/>
      <c r="L112" s="107">
        <v>43.9</v>
      </c>
      <c r="M112" s="109"/>
      <c r="N112" s="27">
        <v>23.322445397999999</v>
      </c>
      <c r="O112" s="109"/>
      <c r="P112" s="107">
        <v>20.2</v>
      </c>
      <c r="Q112" s="107"/>
      <c r="R112" s="107">
        <v>3.0999999999999996</v>
      </c>
      <c r="S112" s="109"/>
      <c r="T112" s="27">
        <v>10.430000000000001</v>
      </c>
      <c r="U112" s="109"/>
      <c r="V112" s="107">
        <v>3.5</v>
      </c>
      <c r="W112" s="107"/>
      <c r="X112" s="107">
        <v>6.9</v>
      </c>
      <c r="Y112" s="107"/>
      <c r="Z112" s="27">
        <v>10.759139999999999</v>
      </c>
      <c r="AA112" s="109"/>
      <c r="AB112" s="107">
        <v>8.5</v>
      </c>
      <c r="AC112" s="107"/>
      <c r="AD112" s="107">
        <v>2.2692400907072021</v>
      </c>
    </row>
    <row r="113" spans="1:30" s="7" customFormat="1" ht="11.25" x14ac:dyDescent="0.2">
      <c r="A113" s="142" t="s">
        <v>218</v>
      </c>
      <c r="B113" s="27">
        <v>0</v>
      </c>
      <c r="C113" s="109"/>
      <c r="D113" s="107">
        <v>0</v>
      </c>
      <c r="E113" s="107"/>
      <c r="F113" s="107">
        <v>0</v>
      </c>
      <c r="G113" s="109"/>
      <c r="H113" s="27">
        <v>0</v>
      </c>
      <c r="I113" s="109"/>
      <c r="J113" s="107">
        <v>0</v>
      </c>
      <c r="K113" s="107"/>
      <c r="L113" s="107">
        <v>0</v>
      </c>
      <c r="M113" s="109"/>
      <c r="N113" s="27">
        <v>0</v>
      </c>
      <c r="O113" s="109"/>
      <c r="P113" s="107">
        <v>0</v>
      </c>
      <c r="Q113" s="107"/>
      <c r="R113" s="107">
        <v>0</v>
      </c>
      <c r="S113" s="109"/>
      <c r="T113" s="27">
        <v>0</v>
      </c>
      <c r="U113" s="109"/>
      <c r="V113" s="107">
        <v>0</v>
      </c>
      <c r="W113" s="107"/>
      <c r="X113" s="107">
        <v>0</v>
      </c>
      <c r="Y113" s="107"/>
      <c r="Z113" s="27">
        <v>8</v>
      </c>
      <c r="AA113" s="109"/>
      <c r="AB113" s="107">
        <v>8</v>
      </c>
      <c r="AC113" s="107"/>
      <c r="AD113" s="107">
        <v>0</v>
      </c>
    </row>
    <row r="114" spans="1:30" s="20" customFormat="1" ht="11.25" x14ac:dyDescent="0.2">
      <c r="A114" s="164" t="s">
        <v>3071</v>
      </c>
      <c r="B114" s="165">
        <v>474.59999999999997</v>
      </c>
      <c r="C114" s="166"/>
      <c r="D114" s="166">
        <v>169.40000000000003</v>
      </c>
      <c r="E114" s="166"/>
      <c r="F114" s="166">
        <v>305.2</v>
      </c>
      <c r="G114" s="166"/>
      <c r="H114" s="165">
        <v>661.3</v>
      </c>
      <c r="I114" s="166"/>
      <c r="J114" s="166">
        <v>414.4</v>
      </c>
      <c r="K114" s="166"/>
      <c r="L114" s="166">
        <v>246.9</v>
      </c>
      <c r="M114" s="166"/>
      <c r="N114" s="165">
        <v>268.89999999999998</v>
      </c>
      <c r="O114" s="166"/>
      <c r="P114" s="166">
        <v>187.09999999999997</v>
      </c>
      <c r="Q114" s="166"/>
      <c r="R114" s="166">
        <v>81.8</v>
      </c>
      <c r="S114" s="166"/>
      <c r="T114" s="165">
        <v>266.95999999999998</v>
      </c>
      <c r="U114" s="166"/>
      <c r="V114" s="166">
        <v>134.30000000000001</v>
      </c>
      <c r="W114" s="166"/>
      <c r="X114" s="166">
        <v>132.69999999999999</v>
      </c>
      <c r="Y114" s="166"/>
      <c r="Z114" s="165">
        <v>263.89999999999998</v>
      </c>
      <c r="AA114" s="166"/>
      <c r="AB114" s="166">
        <v>152.09999999999997</v>
      </c>
      <c r="AC114" s="166"/>
      <c r="AD114" s="166">
        <v>111.8</v>
      </c>
    </row>
    <row r="116" spans="1:30" x14ac:dyDescent="0.2">
      <c r="A116" s="149" t="s">
        <v>3069</v>
      </c>
    </row>
    <row r="117" spans="1:30" s="7" customFormat="1" ht="11.25" x14ac:dyDescent="0.2">
      <c r="A117" s="142" t="s">
        <v>49</v>
      </c>
      <c r="B117" s="27">
        <v>-61.7</v>
      </c>
      <c r="C117" s="109"/>
      <c r="D117" s="107">
        <v>-31.200000000000003</v>
      </c>
      <c r="E117" s="107"/>
      <c r="F117" s="107">
        <v>-30.5</v>
      </c>
      <c r="G117" s="109"/>
      <c r="H117" s="27">
        <v>-70.8</v>
      </c>
      <c r="I117" s="109"/>
      <c r="J117" s="107">
        <v>-35.099999999999994</v>
      </c>
      <c r="K117" s="107"/>
      <c r="L117" s="107">
        <v>-35.700000000000003</v>
      </c>
      <c r="M117" s="109"/>
      <c r="N117" s="27">
        <v>-77.5</v>
      </c>
      <c r="O117" s="109"/>
      <c r="P117" s="107">
        <v>-38.799999999999997</v>
      </c>
      <c r="Q117" s="107"/>
      <c r="R117" s="107">
        <v>-38.700000000000003</v>
      </c>
      <c r="S117" s="109"/>
      <c r="T117" s="27">
        <v>-74.3</v>
      </c>
      <c r="U117" s="109"/>
      <c r="V117" s="107">
        <v>-36.299999999999997</v>
      </c>
      <c r="W117" s="107"/>
      <c r="X117" s="107">
        <v>-38</v>
      </c>
      <c r="Y117" s="107"/>
      <c r="Z117" s="27">
        <v>-61.48751</v>
      </c>
      <c r="AA117" s="109"/>
      <c r="AB117" s="107">
        <v>-31.1</v>
      </c>
      <c r="AC117" s="107"/>
      <c r="AD117" s="107">
        <v>-30.357370830000001</v>
      </c>
    </row>
    <row r="118" spans="1:30" s="7" customFormat="1" ht="11.25" x14ac:dyDescent="0.2">
      <c r="A118" s="142" t="s">
        <v>3066</v>
      </c>
      <c r="B118" s="27">
        <v>-7.4</v>
      </c>
      <c r="C118" s="109"/>
      <c r="D118" s="107">
        <v>9.9999999999999645E-2</v>
      </c>
      <c r="E118" s="107"/>
      <c r="F118" s="107">
        <v>-7.5</v>
      </c>
      <c r="G118" s="109"/>
      <c r="H118" s="27">
        <v>-44</v>
      </c>
      <c r="I118" s="109"/>
      <c r="J118" s="107">
        <v>-22.1</v>
      </c>
      <c r="K118" s="107"/>
      <c r="L118" s="107">
        <v>-21.9</v>
      </c>
      <c r="M118" s="109"/>
      <c r="N118" s="27">
        <v>-37.808</v>
      </c>
      <c r="O118" s="109"/>
      <c r="P118" s="107">
        <v>-23.4</v>
      </c>
      <c r="Q118" s="107"/>
      <c r="R118" s="107">
        <v>-14.4</v>
      </c>
      <c r="S118" s="109"/>
      <c r="T118" s="27">
        <v>-28.73</v>
      </c>
      <c r="U118" s="109"/>
      <c r="V118" s="107">
        <v>-14.399999999999999</v>
      </c>
      <c r="W118" s="107"/>
      <c r="X118" s="107">
        <v>-14.3</v>
      </c>
      <c r="Y118" s="107"/>
      <c r="Z118" s="27">
        <v>-28.286549999999998</v>
      </c>
      <c r="AA118" s="109"/>
      <c r="AB118" s="107">
        <v>-14.600000000000001</v>
      </c>
      <c r="AC118" s="107"/>
      <c r="AD118" s="107">
        <v>-13.74268884</v>
      </c>
    </row>
    <row r="119" spans="1:30" s="7" customFormat="1" ht="11.25" x14ac:dyDescent="0.2">
      <c r="A119" s="142" t="s">
        <v>3067</v>
      </c>
      <c r="B119" s="27">
        <v>-15.5</v>
      </c>
      <c r="C119" s="109"/>
      <c r="D119" s="107">
        <v>-8.5</v>
      </c>
      <c r="E119" s="107"/>
      <c r="F119" s="107">
        <v>-7</v>
      </c>
      <c r="G119" s="109"/>
      <c r="H119" s="27">
        <v>-13.7</v>
      </c>
      <c r="I119" s="109"/>
      <c r="J119" s="107">
        <v>-6.7999999999999989</v>
      </c>
      <c r="K119" s="107"/>
      <c r="L119" s="107">
        <v>-6.9</v>
      </c>
      <c r="M119" s="109"/>
      <c r="N119" s="27">
        <v>-12.367000000000001</v>
      </c>
      <c r="O119" s="109"/>
      <c r="P119" s="107">
        <v>-6.8000000000000007</v>
      </c>
      <c r="Q119" s="107"/>
      <c r="R119" s="107">
        <v>-5.6</v>
      </c>
      <c r="S119" s="109"/>
      <c r="T119" s="27">
        <v>-9.1300000000000008</v>
      </c>
      <c r="U119" s="109"/>
      <c r="V119" s="107">
        <v>-3.5999999999999996</v>
      </c>
      <c r="W119" s="107"/>
      <c r="X119" s="107">
        <v>-5.5</v>
      </c>
      <c r="Y119" s="107"/>
      <c r="Z119" s="27">
        <v>-10.562939999999999</v>
      </c>
      <c r="AA119" s="109"/>
      <c r="AB119" s="107">
        <v>-5.6</v>
      </c>
      <c r="AC119" s="107"/>
      <c r="AD119" s="107">
        <v>-5.0026978</v>
      </c>
    </row>
    <row r="120" spans="1:30" s="20" customFormat="1" ht="11.25" x14ac:dyDescent="0.2">
      <c r="A120" s="164" t="s">
        <v>3068</v>
      </c>
      <c r="B120" s="165">
        <v>-84.600000000000009</v>
      </c>
      <c r="C120" s="166"/>
      <c r="D120" s="166">
        <v>-39.599999999999994</v>
      </c>
      <c r="E120" s="166"/>
      <c r="F120" s="166">
        <v>-45</v>
      </c>
      <c r="G120" s="166"/>
      <c r="H120" s="165">
        <v>-128.5</v>
      </c>
      <c r="I120" s="166"/>
      <c r="J120" s="166">
        <v>-64</v>
      </c>
      <c r="K120" s="166"/>
      <c r="L120" s="166">
        <v>-64.5</v>
      </c>
      <c r="M120" s="166"/>
      <c r="N120" s="165">
        <v>-127.7</v>
      </c>
      <c r="O120" s="166"/>
      <c r="P120" s="166">
        <v>-69</v>
      </c>
      <c r="Q120" s="166"/>
      <c r="R120" s="166">
        <v>-58.7</v>
      </c>
      <c r="S120" s="166"/>
      <c r="T120" s="165">
        <v>-112.16</v>
      </c>
      <c r="U120" s="166"/>
      <c r="V120" s="166">
        <v>-54.400000000000006</v>
      </c>
      <c r="W120" s="166"/>
      <c r="X120" s="166">
        <v>-57.8</v>
      </c>
      <c r="Y120" s="166"/>
      <c r="Z120" s="165">
        <v>-100.43699999999998</v>
      </c>
      <c r="AA120" s="166"/>
      <c r="AB120" s="166">
        <v>-51.300000000000004</v>
      </c>
      <c r="AC120" s="166"/>
      <c r="AD120" s="166">
        <v>-49.099999999999994</v>
      </c>
    </row>
    <row r="122" spans="1:30" x14ac:dyDescent="0.2">
      <c r="A122" s="149" t="s">
        <v>3072</v>
      </c>
    </row>
    <row r="123" spans="1:30" s="7" customFormat="1" ht="11.25" x14ac:dyDescent="0.2">
      <c r="A123" s="142" t="s">
        <v>49</v>
      </c>
      <c r="B123" s="27">
        <v>117.10000000000001</v>
      </c>
      <c r="C123" s="109"/>
      <c r="D123" s="107">
        <v>66.899999999999991</v>
      </c>
      <c r="E123" s="107"/>
      <c r="F123" s="107">
        <v>50.2</v>
      </c>
      <c r="G123" s="109"/>
      <c r="H123" s="27">
        <v>110.3</v>
      </c>
      <c r="I123" s="109"/>
      <c r="J123" s="107">
        <v>57.599999999999994</v>
      </c>
      <c r="K123" s="107"/>
      <c r="L123" s="107">
        <v>52.7</v>
      </c>
      <c r="M123" s="109"/>
      <c r="N123" s="27">
        <v>126.66158461632968</v>
      </c>
      <c r="O123" s="109"/>
      <c r="P123" s="107">
        <v>82.9</v>
      </c>
      <c r="Q123" s="107"/>
      <c r="R123" s="107">
        <v>43.8</v>
      </c>
      <c r="S123" s="109"/>
      <c r="T123" s="27">
        <v>121.1</v>
      </c>
      <c r="U123" s="109"/>
      <c r="V123" s="107">
        <v>65.5</v>
      </c>
      <c r="W123" s="107"/>
      <c r="X123" s="107">
        <v>55.6</v>
      </c>
      <c r="Y123" s="107"/>
      <c r="Z123" s="27">
        <v>136.1</v>
      </c>
      <c r="AA123" s="109"/>
      <c r="AB123" s="107">
        <v>80.699999999999989</v>
      </c>
      <c r="AC123" s="107"/>
      <c r="AD123" s="107">
        <v>55.4</v>
      </c>
    </row>
    <row r="124" spans="1:30" s="7" customFormat="1" ht="11.25" x14ac:dyDescent="0.2">
      <c r="A124" s="142" t="s">
        <v>3066</v>
      </c>
      <c r="B124" s="27">
        <v>264</v>
      </c>
      <c r="C124" s="109"/>
      <c r="D124" s="107">
        <v>61.400000000000006</v>
      </c>
      <c r="E124" s="107"/>
      <c r="F124" s="107">
        <v>202.6</v>
      </c>
      <c r="G124" s="109"/>
      <c r="H124" s="27">
        <v>343.8</v>
      </c>
      <c r="I124" s="109"/>
      <c r="J124" s="107">
        <v>251.10000000000002</v>
      </c>
      <c r="K124" s="107"/>
      <c r="L124" s="107">
        <v>92.7</v>
      </c>
      <c r="M124" s="109"/>
      <c r="N124" s="27">
        <v>3.5686989039999872</v>
      </c>
      <c r="O124" s="109"/>
      <c r="P124" s="107">
        <v>21.8</v>
      </c>
      <c r="Q124" s="107"/>
      <c r="R124" s="107">
        <v>-18.2</v>
      </c>
      <c r="S124" s="109"/>
      <c r="T124" s="27">
        <v>32.4</v>
      </c>
      <c r="U124" s="109"/>
      <c r="V124" s="107">
        <v>14.5</v>
      </c>
      <c r="W124" s="107"/>
      <c r="X124" s="107">
        <v>17.899999999999999</v>
      </c>
      <c r="Y124" s="107"/>
      <c r="Z124" s="27">
        <v>19.198900000000002</v>
      </c>
      <c r="AA124" s="109"/>
      <c r="AB124" s="107">
        <v>9.1999999999999993</v>
      </c>
      <c r="AC124" s="107"/>
      <c r="AD124" s="107">
        <v>10</v>
      </c>
    </row>
    <row r="125" spans="1:30" s="7" customFormat="1" ht="11.25" x14ac:dyDescent="0.2">
      <c r="A125" s="142" t="s">
        <v>3067</v>
      </c>
      <c r="B125" s="27">
        <v>8.8999999999999986</v>
      </c>
      <c r="C125" s="109"/>
      <c r="D125" s="107">
        <v>1.5</v>
      </c>
      <c r="E125" s="107"/>
      <c r="F125" s="107">
        <v>7.4</v>
      </c>
      <c r="G125" s="109"/>
      <c r="H125" s="27">
        <v>78.7</v>
      </c>
      <c r="I125" s="109"/>
      <c r="J125" s="107">
        <v>41.7</v>
      </c>
      <c r="K125" s="107"/>
      <c r="L125" s="107">
        <v>37</v>
      </c>
      <c r="M125" s="109"/>
      <c r="N125" s="27">
        <v>10.855445397999999</v>
      </c>
      <c r="O125" s="109"/>
      <c r="P125" s="107">
        <v>13.4</v>
      </c>
      <c r="Q125" s="107"/>
      <c r="R125" s="107">
        <v>-2.5</v>
      </c>
      <c r="S125" s="109"/>
      <c r="T125" s="27">
        <v>1.3</v>
      </c>
      <c r="U125" s="109"/>
      <c r="V125" s="107">
        <v>-9.9999999999999867E-2</v>
      </c>
      <c r="W125" s="107"/>
      <c r="X125" s="107">
        <v>1.4</v>
      </c>
      <c r="Y125" s="107"/>
      <c r="Z125" s="27">
        <v>0.19619999999999926</v>
      </c>
      <c r="AA125" s="109"/>
      <c r="AB125" s="107">
        <v>2.9000000000000004</v>
      </c>
      <c r="AC125" s="107"/>
      <c r="AD125" s="107">
        <v>-2.7</v>
      </c>
    </row>
    <row r="126" spans="1:30" s="7" customFormat="1" ht="11.25" x14ac:dyDescent="0.2">
      <c r="A126" s="142" t="s">
        <v>218</v>
      </c>
      <c r="B126" s="27">
        <v>0</v>
      </c>
      <c r="C126" s="109"/>
      <c r="D126" s="107">
        <v>0</v>
      </c>
      <c r="E126" s="107"/>
      <c r="F126" s="107">
        <v>0</v>
      </c>
      <c r="G126" s="109"/>
      <c r="H126" s="27">
        <v>0</v>
      </c>
      <c r="I126" s="109"/>
      <c r="J126" s="107">
        <v>0</v>
      </c>
      <c r="K126" s="107"/>
      <c r="L126" s="107">
        <v>0</v>
      </c>
      <c r="M126" s="109"/>
      <c r="N126" s="27">
        <v>0</v>
      </c>
      <c r="O126" s="109"/>
      <c r="P126" s="107">
        <v>0</v>
      </c>
      <c r="Q126" s="107"/>
      <c r="R126" s="107">
        <v>0</v>
      </c>
      <c r="S126" s="109"/>
      <c r="T126" s="27">
        <v>0</v>
      </c>
      <c r="U126" s="109"/>
      <c r="V126" s="107">
        <v>0</v>
      </c>
      <c r="W126" s="107"/>
      <c r="X126" s="107">
        <v>0</v>
      </c>
      <c r="Y126" s="107"/>
      <c r="Z126" s="27">
        <v>8</v>
      </c>
      <c r="AA126" s="109"/>
      <c r="AB126" s="107">
        <v>8</v>
      </c>
      <c r="AC126" s="107"/>
      <c r="AD126" s="107">
        <v>0</v>
      </c>
    </row>
    <row r="127" spans="1:30" s="20" customFormat="1" ht="11.25" x14ac:dyDescent="0.2">
      <c r="A127" s="164" t="s">
        <v>3073</v>
      </c>
      <c r="B127" s="165">
        <v>390</v>
      </c>
      <c r="C127" s="166"/>
      <c r="D127" s="166">
        <v>129.80000000000001</v>
      </c>
      <c r="E127" s="166"/>
      <c r="F127" s="166">
        <v>260.2</v>
      </c>
      <c r="G127" s="166"/>
      <c r="H127" s="165">
        <v>532.80000000000007</v>
      </c>
      <c r="I127" s="166"/>
      <c r="J127" s="166">
        <v>350.4</v>
      </c>
      <c r="K127" s="166"/>
      <c r="L127" s="166">
        <v>182.4</v>
      </c>
      <c r="M127" s="166"/>
      <c r="N127" s="165">
        <v>141.20000000000002</v>
      </c>
      <c r="O127" s="166"/>
      <c r="P127" s="166">
        <v>118.1</v>
      </c>
      <c r="Q127" s="166"/>
      <c r="R127" s="166">
        <v>23.099999999999998</v>
      </c>
      <c r="S127" s="166"/>
      <c r="T127" s="165">
        <v>154.80000000000001</v>
      </c>
      <c r="U127" s="166"/>
      <c r="V127" s="166">
        <v>79.900000000000006</v>
      </c>
      <c r="W127" s="166"/>
      <c r="X127" s="166">
        <v>74.900000000000006</v>
      </c>
      <c r="Y127" s="166"/>
      <c r="Z127" s="165">
        <v>163.49509999999998</v>
      </c>
      <c r="AA127" s="166"/>
      <c r="AB127" s="166">
        <v>100.8</v>
      </c>
      <c r="AC127" s="166"/>
      <c r="AD127" s="166">
        <v>62.7</v>
      </c>
    </row>
    <row r="129" spans="2:30" x14ac:dyDescent="0.2">
      <c r="B129" s="697"/>
      <c r="H129" s="672"/>
      <c r="N129" s="672"/>
    </row>
    <row r="133" spans="2:30" x14ac:dyDescent="0.2">
      <c r="B133" s="698"/>
      <c r="C133" s="554"/>
      <c r="D133" s="554"/>
      <c r="E133" s="554"/>
      <c r="F133" s="554"/>
      <c r="G133" s="554"/>
      <c r="H133" s="554"/>
      <c r="I133" s="554"/>
      <c r="J133" s="554"/>
      <c r="K133" s="554"/>
      <c r="L133" s="554"/>
      <c r="M133" s="554"/>
      <c r="N133" s="554"/>
      <c r="O133" s="554"/>
      <c r="P133" s="554"/>
      <c r="Q133" s="554"/>
      <c r="R133" s="554"/>
      <c r="S133" s="554"/>
      <c r="T133" s="554"/>
      <c r="U133" s="554"/>
      <c r="V133" s="554"/>
      <c r="W133" s="554"/>
      <c r="X133" s="554"/>
      <c r="Y133" s="554"/>
      <c r="Z133" s="554"/>
      <c r="AA133" s="554"/>
      <c r="AB133" s="554"/>
      <c r="AC133" s="554"/>
      <c r="AD133" s="554"/>
    </row>
  </sheetData>
  <pageMargins left="0.25" right="0.25" top="0.75" bottom="0.75" header="0.3" footer="0.3"/>
  <pageSetup paperSize="8" scale="67" orientation="portrait" r:id="rId1"/>
  <headerFooter alignWithMargins="0"/>
  <customProperties>
    <customPr name="_pios_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8"/>
  <sheetViews>
    <sheetView topLeftCell="A7" workbookViewId="0"/>
  </sheetViews>
  <sheetFormatPr defaultRowHeight="12.75" x14ac:dyDescent="0.2"/>
  <cols>
    <col min="1" max="1" width="27.7109375" bestFit="1" customWidth="1"/>
    <col min="2" max="2" width="20.42578125" bestFit="1" customWidth="1"/>
    <col min="3" max="4" width="16.5703125" bestFit="1" customWidth="1"/>
    <col min="5" max="5" width="15.7109375" bestFit="1" customWidth="1"/>
    <col min="6" max="6" width="14.42578125" bestFit="1" customWidth="1"/>
  </cols>
  <sheetData>
    <row r="1" spans="1:13" x14ac:dyDescent="0.2">
      <c r="A1" s="488" t="s">
        <v>349</v>
      </c>
      <c r="B1" s="488"/>
      <c r="C1" s="488"/>
      <c r="D1" s="488"/>
      <c r="E1" s="488"/>
      <c r="F1" s="506"/>
      <c r="G1" s="506"/>
      <c r="H1" s="506"/>
      <c r="I1" s="506"/>
      <c r="J1" s="506"/>
      <c r="K1" s="506"/>
      <c r="L1" s="506"/>
      <c r="M1" s="506"/>
    </row>
    <row r="2" spans="1:13" x14ac:dyDescent="0.2">
      <c r="A2" s="477" t="s">
        <v>360</v>
      </c>
      <c r="B2" s="477" t="s">
        <v>299</v>
      </c>
      <c r="C2" s="478" t="s">
        <v>350</v>
      </c>
      <c r="D2" s="478" t="s">
        <v>351</v>
      </c>
      <c r="E2" s="478" t="s">
        <v>352</v>
      </c>
      <c r="F2" s="506"/>
      <c r="G2" s="506"/>
      <c r="H2" s="506"/>
      <c r="I2" s="506"/>
      <c r="J2" s="506"/>
      <c r="K2" s="506"/>
      <c r="L2" s="506"/>
      <c r="M2" s="506"/>
    </row>
    <row r="3" spans="1:13" x14ac:dyDescent="0.2">
      <c r="A3" s="479" t="s">
        <v>366</v>
      </c>
      <c r="B3" s="479" t="s">
        <v>299</v>
      </c>
      <c r="C3" s="480">
        <v>-49679768.3400001</v>
      </c>
      <c r="D3" s="480">
        <v>911936.36999994505</v>
      </c>
      <c r="E3" s="480">
        <v>-50591704.710000001</v>
      </c>
      <c r="F3" s="506"/>
      <c r="G3" s="506"/>
      <c r="H3" s="506"/>
      <c r="I3" s="506"/>
      <c r="J3" s="506"/>
      <c r="K3" s="506"/>
      <c r="L3" s="506"/>
      <c r="M3" s="506"/>
    </row>
    <row r="4" spans="1:13" x14ac:dyDescent="0.2">
      <c r="A4" s="485" t="s">
        <v>367</v>
      </c>
      <c r="B4" s="481" t="s">
        <v>368</v>
      </c>
      <c r="C4" s="519"/>
      <c r="D4" s="519"/>
      <c r="E4" s="519"/>
    </row>
    <row r="5" spans="1:13" x14ac:dyDescent="0.2">
      <c r="A5" s="486" t="s">
        <v>369</v>
      </c>
      <c r="B5" s="482" t="s">
        <v>370</v>
      </c>
      <c r="C5" s="483">
        <v>1041070788.42</v>
      </c>
      <c r="D5" s="483">
        <v>935307514.13</v>
      </c>
      <c r="E5" s="483">
        <v>105763274.29000001</v>
      </c>
    </row>
    <row r="6" spans="1:13" x14ac:dyDescent="0.2">
      <c r="A6" s="495" t="s">
        <v>371</v>
      </c>
      <c r="B6" s="494" t="s">
        <v>372</v>
      </c>
      <c r="C6" s="483">
        <v>290439022.08999997</v>
      </c>
      <c r="D6" s="483">
        <v>362342105.27999997</v>
      </c>
      <c r="E6" s="483">
        <v>-71903083.189999998</v>
      </c>
    </row>
    <row r="7" spans="1:13" x14ac:dyDescent="0.2">
      <c r="A7" s="495" t="s">
        <v>373</v>
      </c>
      <c r="B7" s="494" t="s">
        <v>374</v>
      </c>
      <c r="C7" s="483">
        <v>750631766.33000004</v>
      </c>
      <c r="D7" s="483">
        <v>572965408.85000002</v>
      </c>
      <c r="E7" s="483">
        <v>177666357.47999999</v>
      </c>
    </row>
    <row r="8" spans="1:13" x14ac:dyDescent="0.2">
      <c r="A8" s="497" t="s">
        <v>375</v>
      </c>
      <c r="B8" s="496" t="s">
        <v>376</v>
      </c>
      <c r="C8" s="483">
        <v>-448741670.31999999</v>
      </c>
      <c r="D8" s="483">
        <v>-647089161.59000003</v>
      </c>
      <c r="E8" s="483">
        <v>198347491.27000001</v>
      </c>
    </row>
    <row r="9" spans="1:13" x14ac:dyDescent="0.2">
      <c r="A9" s="497" t="s">
        <v>377</v>
      </c>
      <c r="B9" s="496" t="s">
        <v>378</v>
      </c>
      <c r="C9" s="483">
        <v>4037077.47</v>
      </c>
      <c r="D9" s="483">
        <v>3482542.7</v>
      </c>
      <c r="E9" s="483">
        <v>554534.77</v>
      </c>
    </row>
    <row r="10" spans="1:13" x14ac:dyDescent="0.2">
      <c r="A10" s="497" t="s">
        <v>379</v>
      </c>
      <c r="B10" s="496" t="s">
        <v>380</v>
      </c>
      <c r="C10" s="483">
        <v>75289015.409999996</v>
      </c>
      <c r="D10" s="483">
        <v>75359604.150000006</v>
      </c>
      <c r="E10" s="483">
        <v>-70588.739999964993</v>
      </c>
    </row>
    <row r="11" spans="1:13" x14ac:dyDescent="0.2">
      <c r="A11" s="497" t="s">
        <v>381</v>
      </c>
      <c r="B11" s="496" t="s">
        <v>382</v>
      </c>
      <c r="C11" s="483">
        <v>694322517.70000005</v>
      </c>
      <c r="D11" s="483">
        <v>720477785.71000004</v>
      </c>
      <c r="E11" s="483">
        <v>-26155268.010000002</v>
      </c>
    </row>
    <row r="12" spans="1:13" x14ac:dyDescent="0.2">
      <c r="A12" s="497" t="s">
        <v>383</v>
      </c>
      <c r="B12" s="496" t="s">
        <v>384</v>
      </c>
      <c r="C12" s="483">
        <f>342745001.02+1225552000</f>
        <v>1568297001.02</v>
      </c>
      <c r="D12" s="483">
        <f>346649124+1225552000</f>
        <v>1572201124</v>
      </c>
      <c r="E12" s="483">
        <v>-3904122.98000002</v>
      </c>
    </row>
    <row r="13" spans="1:13" x14ac:dyDescent="0.2">
      <c r="A13" s="497" t="s">
        <v>385</v>
      </c>
      <c r="B13" s="496" t="s">
        <v>386</v>
      </c>
      <c r="C13" s="483">
        <v>80276771.230000004</v>
      </c>
      <c r="D13" s="483">
        <v>72263487.879999995</v>
      </c>
      <c r="E13" s="483">
        <v>8013283.3500000099</v>
      </c>
    </row>
    <row r="14" spans="1:13" x14ac:dyDescent="0.2">
      <c r="A14" s="497" t="s">
        <v>387</v>
      </c>
      <c r="B14" s="496" t="s">
        <v>388</v>
      </c>
      <c r="C14" s="483">
        <v>2703053.82</v>
      </c>
      <c r="D14" s="483">
        <v>1822026</v>
      </c>
      <c r="E14" s="483">
        <v>881027.82</v>
      </c>
    </row>
    <row r="15" spans="1:13" x14ac:dyDescent="0.2">
      <c r="A15" s="486" t="s">
        <v>389</v>
      </c>
      <c r="B15" s="482" t="s">
        <v>390</v>
      </c>
      <c r="C15" s="483">
        <v>-514313893.50999999</v>
      </c>
      <c r="D15" s="483">
        <v>-559999431.02999997</v>
      </c>
      <c r="E15" s="483">
        <v>45685537.520000003</v>
      </c>
    </row>
    <row r="16" spans="1:13" x14ac:dyDescent="0.2">
      <c r="A16" s="486" t="s">
        <v>391</v>
      </c>
      <c r="B16" s="482" t="s">
        <v>392</v>
      </c>
      <c r="C16" s="483">
        <v>-526756894.91000003</v>
      </c>
      <c r="D16" s="483">
        <v>-375308083.10000002</v>
      </c>
      <c r="E16" s="483">
        <v>-151448811.81</v>
      </c>
    </row>
    <row r="17" spans="1:5" x14ac:dyDescent="0.2">
      <c r="A17" s="487" t="s">
        <v>393</v>
      </c>
      <c r="B17" s="484" t="s">
        <v>299</v>
      </c>
      <c r="C17" s="483">
        <v>-49679768.340000004</v>
      </c>
      <c r="D17" s="483">
        <v>911936.37000006402</v>
      </c>
      <c r="E17" s="483">
        <v>-50591704.710000098</v>
      </c>
    </row>
    <row r="18" spans="1:5" x14ac:dyDescent="0.2">
      <c r="A18" s="506"/>
      <c r="B18" s="506"/>
      <c r="C18" s="506"/>
      <c r="D18" s="506"/>
      <c r="E18" s="506"/>
    </row>
    <row r="19" spans="1:5" x14ac:dyDescent="0.2">
      <c r="A19" s="506"/>
      <c r="B19" s="506"/>
      <c r="C19" s="506"/>
      <c r="D19" s="506"/>
      <c r="E19" s="506"/>
    </row>
    <row r="21" spans="1:5" x14ac:dyDescent="0.2">
      <c r="A21" s="184" t="s">
        <v>414</v>
      </c>
      <c r="B21">
        <v>0.68715000000000004</v>
      </c>
    </row>
    <row r="22" spans="1:5" x14ac:dyDescent="0.2">
      <c r="A22" s="184" t="s">
        <v>415</v>
      </c>
      <c r="B22">
        <v>0.80147000000000002</v>
      </c>
    </row>
    <row r="24" spans="1:5" x14ac:dyDescent="0.2">
      <c r="A24" s="184" t="s">
        <v>3021</v>
      </c>
      <c r="B24" s="505">
        <f>SUM(C9,C10,C11,C12,C14)</f>
        <v>2344648665.4200001</v>
      </c>
    </row>
    <row r="25" spans="1:5" x14ac:dyDescent="0.2">
      <c r="A25" s="184" t="s">
        <v>3022</v>
      </c>
      <c r="B25" s="505">
        <f>SUM(D9,D10,D11,D12,D14)</f>
        <v>2373343082.5599999</v>
      </c>
    </row>
    <row r="27" spans="1:5" x14ac:dyDescent="0.2">
      <c r="A27" s="184" t="s">
        <v>3023</v>
      </c>
      <c r="B27" s="207">
        <f>B24/B21</f>
        <v>3412135145.7760315</v>
      </c>
    </row>
    <row r="28" spans="1:5" x14ac:dyDescent="0.2">
      <c r="A28" s="184" t="s">
        <v>3024</v>
      </c>
      <c r="B28" s="207">
        <f>B25/B22</f>
        <v>2961237579.148315</v>
      </c>
    </row>
  </sheetData>
  <pageMargins left="0.7" right="0.7" top="0.75" bottom="0.75" header="0.3" footer="0.3"/>
  <customProperties>
    <customPr name="_pios_id" r:id="rId1"/>
  </customPropertie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8"/>
  <sheetViews>
    <sheetView topLeftCell="A4" workbookViewId="0"/>
  </sheetViews>
  <sheetFormatPr defaultRowHeight="12.75" x14ac:dyDescent="0.2"/>
  <cols>
    <col min="1" max="1" width="31.28515625" bestFit="1" customWidth="1"/>
    <col min="2" max="2" width="20.42578125" bestFit="1" customWidth="1"/>
    <col min="3" max="5" width="17.28515625" bestFit="1" customWidth="1"/>
  </cols>
  <sheetData>
    <row r="1" spans="1:5" x14ac:dyDescent="0.2">
      <c r="A1" s="488" t="s">
        <v>349</v>
      </c>
      <c r="B1" s="488"/>
      <c r="C1" s="488"/>
      <c r="D1" s="488"/>
      <c r="E1" s="488"/>
    </row>
    <row r="2" spans="1:5" x14ac:dyDescent="0.2">
      <c r="A2" s="477" t="s">
        <v>360</v>
      </c>
      <c r="B2" s="477" t="s">
        <v>299</v>
      </c>
      <c r="C2" s="478" t="s">
        <v>350</v>
      </c>
      <c r="D2" s="478" t="s">
        <v>351</v>
      </c>
      <c r="E2" s="478" t="s">
        <v>352</v>
      </c>
    </row>
    <row r="3" spans="1:5" x14ac:dyDescent="0.2">
      <c r="A3" s="479" t="s">
        <v>366</v>
      </c>
      <c r="B3" s="479" t="s">
        <v>299</v>
      </c>
      <c r="C3" s="480">
        <v>-16675656.689999901</v>
      </c>
      <c r="D3" s="480">
        <v>-97683615.849999905</v>
      </c>
      <c r="E3" s="480">
        <v>81007959.159999996</v>
      </c>
    </row>
    <row r="4" spans="1:5" x14ac:dyDescent="0.2">
      <c r="A4" s="485" t="s">
        <v>367</v>
      </c>
      <c r="B4" s="481" t="s">
        <v>368</v>
      </c>
      <c r="C4" s="519"/>
      <c r="D4" s="519"/>
      <c r="E4" s="519"/>
    </row>
    <row r="5" spans="1:5" x14ac:dyDescent="0.2">
      <c r="A5" s="486" t="s">
        <v>369</v>
      </c>
      <c r="B5" s="482" t="s">
        <v>370</v>
      </c>
      <c r="C5" s="483">
        <v>3795005310.25</v>
      </c>
      <c r="D5" s="483">
        <v>1608096988.3800001</v>
      </c>
      <c r="E5" s="483">
        <v>2186908321.8699999</v>
      </c>
    </row>
    <row r="6" spans="1:5" x14ac:dyDescent="0.2">
      <c r="A6" s="495" t="s">
        <v>371</v>
      </c>
      <c r="B6" s="494" t="s">
        <v>372</v>
      </c>
      <c r="C6" s="483">
        <v>5291349.4400000004</v>
      </c>
      <c r="D6" s="483">
        <v>12922828.57</v>
      </c>
      <c r="E6" s="483">
        <v>-7631479.1299999999</v>
      </c>
    </row>
    <row r="7" spans="1:5" x14ac:dyDescent="0.2">
      <c r="A7" s="495" t="s">
        <v>373</v>
      </c>
      <c r="B7" s="494" t="s">
        <v>374</v>
      </c>
      <c r="C7" s="483">
        <v>3789713960.8099999</v>
      </c>
      <c r="D7" s="483">
        <v>1595174159.8099999</v>
      </c>
      <c r="E7" s="483">
        <v>2194539801</v>
      </c>
    </row>
    <row r="8" spans="1:5" x14ac:dyDescent="0.2">
      <c r="A8" s="497" t="s">
        <v>375</v>
      </c>
      <c r="B8" s="496" t="s">
        <v>376</v>
      </c>
      <c r="C8" s="483">
        <v>1018400440.05</v>
      </c>
      <c r="D8" s="483">
        <v>995439557.58000004</v>
      </c>
      <c r="E8" s="483">
        <v>22960882.470000099</v>
      </c>
    </row>
    <row r="9" spans="1:5" x14ac:dyDescent="0.2">
      <c r="A9" s="497" t="s">
        <v>377</v>
      </c>
      <c r="B9" s="496" t="s">
        <v>378</v>
      </c>
      <c r="C9" s="483">
        <v>310548.02</v>
      </c>
      <c r="D9" s="483">
        <v>311498.86</v>
      </c>
      <c r="E9" s="483">
        <v>-950.84</v>
      </c>
    </row>
    <row r="10" spans="1:5" x14ac:dyDescent="0.2">
      <c r="A10" s="497" t="s">
        <v>379</v>
      </c>
      <c r="B10" s="496" t="s">
        <v>380</v>
      </c>
      <c r="C10" s="483">
        <v>66342124.350000001</v>
      </c>
      <c r="D10" s="483">
        <v>82002235.980000004</v>
      </c>
      <c r="E10" s="483">
        <v>-15660111.630000001</v>
      </c>
    </row>
    <row r="11" spans="1:5" x14ac:dyDescent="0.2">
      <c r="A11" s="497" t="s">
        <v>3025</v>
      </c>
      <c r="B11" s="496" t="s">
        <v>3026</v>
      </c>
      <c r="C11" s="483">
        <v>2746797175.0799999</v>
      </c>
      <c r="D11" s="483">
        <v>615074107.83000004</v>
      </c>
      <c r="E11" s="483">
        <v>2131723067.25</v>
      </c>
    </row>
    <row r="12" spans="1:5" x14ac:dyDescent="0.2">
      <c r="A12" s="497" t="s">
        <v>381</v>
      </c>
      <c r="B12" s="496" t="s">
        <v>382</v>
      </c>
      <c r="C12" s="483">
        <v>5115.53</v>
      </c>
      <c r="D12" s="483">
        <v>1710763.51</v>
      </c>
      <c r="E12" s="483">
        <v>-1705647.98</v>
      </c>
    </row>
    <row r="13" spans="1:5" x14ac:dyDescent="0.2">
      <c r="A13" s="497" t="s">
        <v>383</v>
      </c>
      <c r="B13" s="496" t="s">
        <v>384</v>
      </c>
      <c r="C13" s="483">
        <v>-50393328.170000002</v>
      </c>
      <c r="D13" s="483">
        <v>-42615115.030000001</v>
      </c>
      <c r="E13" s="483">
        <v>-7778213.1399999997</v>
      </c>
    </row>
    <row r="14" spans="1:5" x14ac:dyDescent="0.2">
      <c r="A14" s="497" t="s">
        <v>385</v>
      </c>
      <c r="B14" s="496" t="s">
        <v>386</v>
      </c>
      <c r="C14" s="483">
        <v>8251885.9500000002</v>
      </c>
      <c r="D14" s="483">
        <v>-56748888.920000002</v>
      </c>
      <c r="E14" s="483">
        <v>65000774.869999997</v>
      </c>
    </row>
    <row r="15" spans="1:5" x14ac:dyDescent="0.2">
      <c r="A15" s="486" t="s">
        <v>389</v>
      </c>
      <c r="B15" s="482" t="s">
        <v>390</v>
      </c>
      <c r="C15" s="483">
        <v>-9318597.9399999902</v>
      </c>
      <c r="D15" s="483">
        <v>34113338.810000002</v>
      </c>
      <c r="E15" s="483">
        <v>-43431936.75</v>
      </c>
    </row>
    <row r="16" spans="1:5" x14ac:dyDescent="0.2">
      <c r="A16" s="486" t="s">
        <v>391</v>
      </c>
      <c r="B16" s="482" t="s">
        <v>392</v>
      </c>
      <c r="C16" s="483">
        <v>-3785686712.3099999</v>
      </c>
      <c r="D16" s="483">
        <v>-1642210327.1900001</v>
      </c>
      <c r="E16" s="483">
        <v>-2143476385.1199999</v>
      </c>
    </row>
    <row r="17" spans="1:5" x14ac:dyDescent="0.2">
      <c r="A17" s="487" t="s">
        <v>393</v>
      </c>
      <c r="B17" s="484" t="s">
        <v>299</v>
      </c>
      <c r="C17" s="483">
        <v>-16675656.689999999</v>
      </c>
      <c r="D17" s="483">
        <v>-97683615.849999994</v>
      </c>
      <c r="E17" s="483">
        <v>81007959.159999996</v>
      </c>
    </row>
    <row r="18" spans="1:5" x14ac:dyDescent="0.2">
      <c r="A18" s="506"/>
      <c r="B18" s="506"/>
      <c r="C18" s="506"/>
      <c r="D18" s="506"/>
      <c r="E18" s="506"/>
    </row>
    <row r="19" spans="1:5" x14ac:dyDescent="0.2">
      <c r="A19" s="506"/>
      <c r="B19" s="506"/>
      <c r="C19" s="506"/>
      <c r="D19" s="506"/>
      <c r="E19" s="506"/>
    </row>
    <row r="21" spans="1:5" x14ac:dyDescent="0.2">
      <c r="A21" s="184" t="s">
        <v>414</v>
      </c>
      <c r="B21">
        <v>0.68715000000000004</v>
      </c>
    </row>
    <row r="22" spans="1:5" x14ac:dyDescent="0.2">
      <c r="A22" s="184" t="s">
        <v>415</v>
      </c>
      <c r="B22">
        <v>0.80147000000000002</v>
      </c>
    </row>
    <row r="24" spans="1:5" x14ac:dyDescent="0.2">
      <c r="A24" s="184" t="s">
        <v>3027</v>
      </c>
      <c r="B24" s="505">
        <f>SUM(C9,C10,C12)</f>
        <v>66657787.900000006</v>
      </c>
    </row>
    <row r="25" spans="1:5" x14ac:dyDescent="0.2">
      <c r="A25" s="184" t="s">
        <v>3028</v>
      </c>
      <c r="B25" s="505">
        <f>SUM(D9,D10,D12)</f>
        <v>84024498.350000009</v>
      </c>
    </row>
    <row r="27" spans="1:5" x14ac:dyDescent="0.2">
      <c r="A27" s="184" t="s">
        <v>3029</v>
      </c>
      <c r="B27" s="207">
        <f>B24/B21</f>
        <v>97006167.35792768</v>
      </c>
    </row>
    <row r="28" spans="1:5" x14ac:dyDescent="0.2">
      <c r="A28" s="184" t="s">
        <v>3030</v>
      </c>
      <c r="B28" s="207">
        <f>B25/B22</f>
        <v>104837983.14347388</v>
      </c>
    </row>
  </sheetData>
  <pageMargins left="0.7" right="0.7" top="0.75" bottom="0.75" header="0.3" footer="0.3"/>
  <customProperties>
    <customPr name="_pios_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4"/>
  <sheetViews>
    <sheetView workbookViewId="0"/>
  </sheetViews>
  <sheetFormatPr defaultRowHeight="12.75" x14ac:dyDescent="0.2"/>
  <cols>
    <col min="1" max="1" width="17.5703125" bestFit="1" customWidth="1"/>
    <col min="2" max="12" width="14" bestFit="1" customWidth="1"/>
    <col min="257" max="257" width="17.5703125" bestFit="1" customWidth="1"/>
    <col min="258" max="268" width="14" bestFit="1" customWidth="1"/>
    <col min="513" max="513" width="17.5703125" bestFit="1" customWidth="1"/>
    <col min="514" max="524" width="14" bestFit="1" customWidth="1"/>
    <col min="769" max="769" width="17.5703125" bestFit="1" customWidth="1"/>
    <col min="770" max="780" width="14" bestFit="1" customWidth="1"/>
    <col min="1025" max="1025" width="17.5703125" bestFit="1" customWidth="1"/>
    <col min="1026" max="1036" width="14" bestFit="1" customWidth="1"/>
    <col min="1281" max="1281" width="17.5703125" bestFit="1" customWidth="1"/>
    <col min="1282" max="1292" width="14" bestFit="1" customWidth="1"/>
    <col min="1537" max="1537" width="17.5703125" bestFit="1" customWidth="1"/>
    <col min="1538" max="1548" width="14" bestFit="1" customWidth="1"/>
    <col min="1793" max="1793" width="17.5703125" bestFit="1" customWidth="1"/>
    <col min="1794" max="1804" width="14" bestFit="1" customWidth="1"/>
    <col min="2049" max="2049" width="17.5703125" bestFit="1" customWidth="1"/>
    <col min="2050" max="2060" width="14" bestFit="1" customWidth="1"/>
    <col min="2305" max="2305" width="17.5703125" bestFit="1" customWidth="1"/>
    <col min="2306" max="2316" width="14" bestFit="1" customWidth="1"/>
    <col min="2561" max="2561" width="17.5703125" bestFit="1" customWidth="1"/>
    <col min="2562" max="2572" width="14" bestFit="1" customWidth="1"/>
    <col min="2817" max="2817" width="17.5703125" bestFit="1" customWidth="1"/>
    <col min="2818" max="2828" width="14" bestFit="1" customWidth="1"/>
    <col min="3073" max="3073" width="17.5703125" bestFit="1" customWidth="1"/>
    <col min="3074" max="3084" width="14" bestFit="1" customWidth="1"/>
    <col min="3329" max="3329" width="17.5703125" bestFit="1" customWidth="1"/>
    <col min="3330" max="3340" width="14" bestFit="1" customWidth="1"/>
    <col min="3585" max="3585" width="17.5703125" bestFit="1" customWidth="1"/>
    <col min="3586" max="3596" width="14" bestFit="1" customWidth="1"/>
    <col min="3841" max="3841" width="17.5703125" bestFit="1" customWidth="1"/>
    <col min="3842" max="3852" width="14" bestFit="1" customWidth="1"/>
    <col min="4097" max="4097" width="17.5703125" bestFit="1" customWidth="1"/>
    <col min="4098" max="4108" width="14" bestFit="1" customWidth="1"/>
    <col min="4353" max="4353" width="17.5703125" bestFit="1" customWidth="1"/>
    <col min="4354" max="4364" width="14" bestFit="1" customWidth="1"/>
    <col min="4609" max="4609" width="17.5703125" bestFit="1" customWidth="1"/>
    <col min="4610" max="4620" width="14" bestFit="1" customWidth="1"/>
    <col min="4865" max="4865" width="17.5703125" bestFit="1" customWidth="1"/>
    <col min="4866" max="4876" width="14" bestFit="1" customWidth="1"/>
    <col min="5121" max="5121" width="17.5703125" bestFit="1" customWidth="1"/>
    <col min="5122" max="5132" width="14" bestFit="1" customWidth="1"/>
    <col min="5377" max="5377" width="17.5703125" bestFit="1" customWidth="1"/>
    <col min="5378" max="5388" width="14" bestFit="1" customWidth="1"/>
    <col min="5633" max="5633" width="17.5703125" bestFit="1" customWidth="1"/>
    <col min="5634" max="5644" width="14" bestFit="1" customWidth="1"/>
    <col min="5889" max="5889" width="17.5703125" bestFit="1" customWidth="1"/>
    <col min="5890" max="5900" width="14" bestFit="1" customWidth="1"/>
    <col min="6145" max="6145" width="17.5703125" bestFit="1" customWidth="1"/>
    <col min="6146" max="6156" width="14" bestFit="1" customWidth="1"/>
    <col min="6401" max="6401" width="17.5703125" bestFit="1" customWidth="1"/>
    <col min="6402" max="6412" width="14" bestFit="1" customWidth="1"/>
    <col min="6657" max="6657" width="17.5703125" bestFit="1" customWidth="1"/>
    <col min="6658" max="6668" width="14" bestFit="1" customWidth="1"/>
    <col min="6913" max="6913" width="17.5703125" bestFit="1" customWidth="1"/>
    <col min="6914" max="6924" width="14" bestFit="1" customWidth="1"/>
    <col min="7169" max="7169" width="17.5703125" bestFit="1" customWidth="1"/>
    <col min="7170" max="7180" width="14" bestFit="1" customWidth="1"/>
    <col min="7425" max="7425" width="17.5703125" bestFit="1" customWidth="1"/>
    <col min="7426" max="7436" width="14" bestFit="1" customWidth="1"/>
    <col min="7681" max="7681" width="17.5703125" bestFit="1" customWidth="1"/>
    <col min="7682" max="7692" width="14" bestFit="1" customWidth="1"/>
    <col min="7937" max="7937" width="17.5703125" bestFit="1" customWidth="1"/>
    <col min="7938" max="7948" width="14" bestFit="1" customWidth="1"/>
    <col min="8193" max="8193" width="17.5703125" bestFit="1" customWidth="1"/>
    <col min="8194" max="8204" width="14" bestFit="1" customWidth="1"/>
    <col min="8449" max="8449" width="17.5703125" bestFit="1" customWidth="1"/>
    <col min="8450" max="8460" width="14" bestFit="1" customWidth="1"/>
    <col min="8705" max="8705" width="17.5703125" bestFit="1" customWidth="1"/>
    <col min="8706" max="8716" width="14" bestFit="1" customWidth="1"/>
    <col min="8961" max="8961" width="17.5703125" bestFit="1" customWidth="1"/>
    <col min="8962" max="8972" width="14" bestFit="1" customWidth="1"/>
    <col min="9217" max="9217" width="17.5703125" bestFit="1" customWidth="1"/>
    <col min="9218" max="9228" width="14" bestFit="1" customWidth="1"/>
    <col min="9473" max="9473" width="17.5703125" bestFit="1" customWidth="1"/>
    <col min="9474" max="9484" width="14" bestFit="1" customWidth="1"/>
    <col min="9729" max="9729" width="17.5703125" bestFit="1" customWidth="1"/>
    <col min="9730" max="9740" width="14" bestFit="1" customWidth="1"/>
    <col min="9985" max="9985" width="17.5703125" bestFit="1" customWidth="1"/>
    <col min="9986" max="9996" width="14" bestFit="1" customWidth="1"/>
    <col min="10241" max="10241" width="17.5703125" bestFit="1" customWidth="1"/>
    <col min="10242" max="10252" width="14" bestFit="1" customWidth="1"/>
    <col min="10497" max="10497" width="17.5703125" bestFit="1" customWidth="1"/>
    <col min="10498" max="10508" width="14" bestFit="1" customWidth="1"/>
    <col min="10753" max="10753" width="17.5703125" bestFit="1" customWidth="1"/>
    <col min="10754" max="10764" width="14" bestFit="1" customWidth="1"/>
    <col min="11009" max="11009" width="17.5703125" bestFit="1" customWidth="1"/>
    <col min="11010" max="11020" width="14" bestFit="1" customWidth="1"/>
    <col min="11265" max="11265" width="17.5703125" bestFit="1" customWidth="1"/>
    <col min="11266" max="11276" width="14" bestFit="1" customWidth="1"/>
    <col min="11521" max="11521" width="17.5703125" bestFit="1" customWidth="1"/>
    <col min="11522" max="11532" width="14" bestFit="1" customWidth="1"/>
    <col min="11777" max="11777" width="17.5703125" bestFit="1" customWidth="1"/>
    <col min="11778" max="11788" width="14" bestFit="1" customWidth="1"/>
    <col min="12033" max="12033" width="17.5703125" bestFit="1" customWidth="1"/>
    <col min="12034" max="12044" width="14" bestFit="1" customWidth="1"/>
    <col min="12289" max="12289" width="17.5703125" bestFit="1" customWidth="1"/>
    <col min="12290" max="12300" width="14" bestFit="1" customWidth="1"/>
    <col min="12545" max="12545" width="17.5703125" bestFit="1" customWidth="1"/>
    <col min="12546" max="12556" width="14" bestFit="1" customWidth="1"/>
    <col min="12801" max="12801" width="17.5703125" bestFit="1" customWidth="1"/>
    <col min="12802" max="12812" width="14" bestFit="1" customWidth="1"/>
    <col min="13057" max="13057" width="17.5703125" bestFit="1" customWidth="1"/>
    <col min="13058" max="13068" width="14" bestFit="1" customWidth="1"/>
    <col min="13313" max="13313" width="17.5703125" bestFit="1" customWidth="1"/>
    <col min="13314" max="13324" width="14" bestFit="1" customWidth="1"/>
    <col min="13569" max="13569" width="17.5703125" bestFit="1" customWidth="1"/>
    <col min="13570" max="13580" width="14" bestFit="1" customWidth="1"/>
    <col min="13825" max="13825" width="17.5703125" bestFit="1" customWidth="1"/>
    <col min="13826" max="13836" width="14" bestFit="1" customWidth="1"/>
    <col min="14081" max="14081" width="17.5703125" bestFit="1" customWidth="1"/>
    <col min="14082" max="14092" width="14" bestFit="1" customWidth="1"/>
    <col min="14337" max="14337" width="17.5703125" bestFit="1" customWidth="1"/>
    <col min="14338" max="14348" width="14" bestFit="1" customWidth="1"/>
    <col min="14593" max="14593" width="17.5703125" bestFit="1" customWidth="1"/>
    <col min="14594" max="14604" width="14" bestFit="1" customWidth="1"/>
    <col min="14849" max="14849" width="17.5703125" bestFit="1" customWidth="1"/>
    <col min="14850" max="14860" width="14" bestFit="1" customWidth="1"/>
    <col min="15105" max="15105" width="17.5703125" bestFit="1" customWidth="1"/>
    <col min="15106" max="15116" width="14" bestFit="1" customWidth="1"/>
    <col min="15361" max="15361" width="17.5703125" bestFit="1" customWidth="1"/>
    <col min="15362" max="15372" width="14" bestFit="1" customWidth="1"/>
    <col min="15617" max="15617" width="17.5703125" bestFit="1" customWidth="1"/>
    <col min="15618" max="15628" width="14" bestFit="1" customWidth="1"/>
    <col min="15873" max="15873" width="17.5703125" bestFit="1" customWidth="1"/>
    <col min="15874" max="15884" width="14" bestFit="1" customWidth="1"/>
    <col min="16129" max="16129" width="17.5703125" bestFit="1" customWidth="1"/>
    <col min="16130" max="16140" width="14" bestFit="1" customWidth="1"/>
  </cols>
  <sheetData>
    <row r="1" spans="1:12" x14ac:dyDescent="0.2">
      <c r="A1" t="s">
        <v>3035</v>
      </c>
    </row>
    <row r="3" spans="1:12" x14ac:dyDescent="0.2">
      <c r="A3" s="466" t="s">
        <v>93</v>
      </c>
      <c r="B3" s="466" t="s">
        <v>94</v>
      </c>
      <c r="C3" s="512"/>
      <c r="D3" s="512"/>
      <c r="E3" s="512"/>
      <c r="F3" s="512"/>
      <c r="G3" s="512"/>
      <c r="H3" s="512"/>
      <c r="I3" s="512"/>
      <c r="J3" s="512"/>
      <c r="K3" s="512"/>
      <c r="L3" s="511"/>
    </row>
    <row r="4" spans="1:12" x14ac:dyDescent="0.2">
      <c r="A4" s="466" t="s">
        <v>95</v>
      </c>
      <c r="B4" s="513" t="s">
        <v>96</v>
      </c>
      <c r="C4" s="510" t="s">
        <v>98</v>
      </c>
      <c r="D4" s="510" t="s">
        <v>112</v>
      </c>
      <c r="E4" s="510" t="s">
        <v>218</v>
      </c>
      <c r="F4" s="510" t="s">
        <v>99</v>
      </c>
      <c r="G4" s="510" t="s">
        <v>100</v>
      </c>
      <c r="H4" s="510" t="s">
        <v>3036</v>
      </c>
      <c r="I4" s="510" t="s">
        <v>102</v>
      </c>
      <c r="J4" s="510" t="s">
        <v>103</v>
      </c>
      <c r="K4" s="510" t="s">
        <v>104</v>
      </c>
      <c r="L4" s="509" t="s">
        <v>107</v>
      </c>
    </row>
    <row r="5" spans="1:12" s="236" customFormat="1" x14ac:dyDescent="0.2">
      <c r="A5" s="508" t="s">
        <v>109</v>
      </c>
      <c r="B5" s="507">
        <v>1188948.27</v>
      </c>
      <c r="C5" s="476">
        <v>4417542.01</v>
      </c>
      <c r="D5" s="476"/>
      <c r="E5" s="476"/>
      <c r="F5" s="476"/>
      <c r="G5" s="476"/>
      <c r="H5" s="476">
        <v>881.03</v>
      </c>
      <c r="I5" s="476"/>
      <c r="J5" s="476">
        <v>1200309.72</v>
      </c>
      <c r="K5" s="476">
        <v>7145888.6100000013</v>
      </c>
      <c r="L5" s="475">
        <v>13953569.640000002</v>
      </c>
    </row>
    <row r="6" spans="1:12" s="236" customFormat="1" x14ac:dyDescent="0.2">
      <c r="A6" s="474" t="s">
        <v>3037</v>
      </c>
      <c r="B6" s="473">
        <v>1680114.84</v>
      </c>
      <c r="C6" s="472">
        <v>169.39</v>
      </c>
      <c r="D6" s="472"/>
      <c r="E6" s="472"/>
      <c r="F6" s="472"/>
      <c r="G6" s="472"/>
      <c r="H6" s="472"/>
      <c r="I6" s="472"/>
      <c r="J6" s="472"/>
      <c r="K6" s="472">
        <v>136768.95999999999</v>
      </c>
      <c r="L6" s="518">
        <v>1817053.19</v>
      </c>
    </row>
    <row r="7" spans="1:12" s="97" customFormat="1" x14ac:dyDescent="0.2">
      <c r="A7" s="201" t="s">
        <v>110</v>
      </c>
      <c r="B7" s="202"/>
      <c r="C7" s="95"/>
      <c r="D7" s="95">
        <v>368123.27</v>
      </c>
      <c r="E7" s="95"/>
      <c r="F7" s="95"/>
      <c r="G7" s="95">
        <v>167763.76</v>
      </c>
      <c r="H7" s="95"/>
      <c r="I7" s="95"/>
      <c r="J7" s="95"/>
      <c r="K7" s="95">
        <v>32834.44</v>
      </c>
      <c r="L7" s="203">
        <v>568721.47</v>
      </c>
    </row>
    <row r="8" spans="1:12" s="236" customFormat="1" x14ac:dyDescent="0.2">
      <c r="A8" s="474" t="s">
        <v>111</v>
      </c>
      <c r="B8" s="473">
        <v>158232.88</v>
      </c>
      <c r="C8" s="472">
        <v>975053.7</v>
      </c>
      <c r="D8" s="472"/>
      <c r="E8" s="472"/>
      <c r="F8" s="472"/>
      <c r="G8" s="472"/>
      <c r="H8" s="472"/>
      <c r="I8" s="472"/>
      <c r="J8" s="472"/>
      <c r="K8" s="472">
        <v>1227229.93</v>
      </c>
      <c r="L8" s="518">
        <v>2360516.5099999998</v>
      </c>
    </row>
    <row r="9" spans="1:12" s="236" customFormat="1" x14ac:dyDescent="0.2">
      <c r="A9" s="474" t="s">
        <v>115</v>
      </c>
      <c r="B9" s="473">
        <v>569921.81999999995</v>
      </c>
      <c r="C9" s="472"/>
      <c r="D9" s="472"/>
      <c r="E9" s="472"/>
      <c r="F9" s="472"/>
      <c r="G9" s="472"/>
      <c r="H9" s="472"/>
      <c r="I9" s="472"/>
      <c r="J9" s="472"/>
      <c r="K9" s="472">
        <v>1135073.52</v>
      </c>
      <c r="L9" s="518">
        <v>1704995.34</v>
      </c>
    </row>
    <row r="10" spans="1:12" s="236" customFormat="1" x14ac:dyDescent="0.2">
      <c r="A10" s="474" t="s">
        <v>3038</v>
      </c>
      <c r="B10" s="473"/>
      <c r="C10" s="472"/>
      <c r="D10" s="472"/>
      <c r="E10" s="472"/>
      <c r="F10" s="472"/>
      <c r="G10" s="472">
        <v>130527.05</v>
      </c>
      <c r="H10" s="472"/>
      <c r="I10" s="472"/>
      <c r="J10" s="472"/>
      <c r="K10" s="472"/>
      <c r="L10" s="518">
        <v>130527.05</v>
      </c>
    </row>
    <row r="11" spans="1:12" s="236" customFormat="1" x14ac:dyDescent="0.2">
      <c r="A11" s="474" t="s">
        <v>116</v>
      </c>
      <c r="B11" s="473">
        <v>457863.19</v>
      </c>
      <c r="C11" s="472">
        <v>533375.93000000005</v>
      </c>
      <c r="D11" s="472"/>
      <c r="E11" s="472">
        <v>39671.599999999999</v>
      </c>
      <c r="F11" s="472"/>
      <c r="G11" s="472"/>
      <c r="H11" s="472"/>
      <c r="I11" s="472"/>
      <c r="J11" s="472"/>
      <c r="K11" s="472">
        <v>444256.99</v>
      </c>
      <c r="L11" s="518">
        <v>1475167.71</v>
      </c>
    </row>
    <row r="12" spans="1:12" s="236" customFormat="1" x14ac:dyDescent="0.2">
      <c r="A12" s="474" t="s">
        <v>117</v>
      </c>
      <c r="B12" s="473"/>
      <c r="C12" s="472"/>
      <c r="D12" s="472"/>
      <c r="E12" s="472"/>
      <c r="F12" s="472"/>
      <c r="G12" s="472">
        <v>14560</v>
      </c>
      <c r="H12" s="472"/>
      <c r="I12" s="472"/>
      <c r="J12" s="472"/>
      <c r="K12" s="472"/>
      <c r="L12" s="518">
        <v>14560</v>
      </c>
    </row>
    <row r="13" spans="1:12" s="102" customFormat="1" x14ac:dyDescent="0.2">
      <c r="A13" s="204" t="s">
        <v>118</v>
      </c>
      <c r="B13" s="205"/>
      <c r="C13" s="100">
        <v>-1595060.98</v>
      </c>
      <c r="D13" s="100"/>
      <c r="E13" s="100"/>
      <c r="F13" s="100">
        <v>6724180.9799999995</v>
      </c>
      <c r="G13" s="100"/>
      <c r="H13" s="100"/>
      <c r="I13" s="100">
        <v>123048.92</v>
      </c>
      <c r="J13" s="100">
        <v>2954544.16</v>
      </c>
      <c r="K13" s="100">
        <v>15981125.659999996</v>
      </c>
      <c r="L13" s="206">
        <v>24187838.739999995</v>
      </c>
    </row>
    <row r="14" spans="1:12" s="236" customFormat="1" x14ac:dyDescent="0.2">
      <c r="A14" s="474" t="s">
        <v>119</v>
      </c>
      <c r="B14" s="473">
        <v>150557.49</v>
      </c>
      <c r="C14" s="472">
        <v>514620.76</v>
      </c>
      <c r="D14" s="472"/>
      <c r="E14" s="472"/>
      <c r="F14" s="472"/>
      <c r="G14" s="472"/>
      <c r="H14" s="472"/>
      <c r="I14" s="472"/>
      <c r="J14" s="472"/>
      <c r="K14" s="472">
        <v>148044.07</v>
      </c>
      <c r="L14" s="518">
        <v>813222.32</v>
      </c>
    </row>
    <row r="15" spans="1:12" s="236" customFormat="1" x14ac:dyDescent="0.2">
      <c r="A15" s="474" t="s">
        <v>3039</v>
      </c>
      <c r="B15" s="473"/>
      <c r="C15" s="472"/>
      <c r="D15" s="472"/>
      <c r="E15" s="472"/>
      <c r="F15" s="472"/>
      <c r="G15" s="472"/>
      <c r="H15" s="472"/>
      <c r="I15" s="472"/>
      <c r="J15" s="472"/>
      <c r="K15" s="472">
        <v>49322.71</v>
      </c>
      <c r="L15" s="518">
        <v>49322.71</v>
      </c>
    </row>
    <row r="16" spans="1:12" x14ac:dyDescent="0.2">
      <c r="A16" s="471" t="s">
        <v>107</v>
      </c>
      <c r="B16" s="470">
        <v>4205638.49</v>
      </c>
      <c r="C16" s="469">
        <v>4845700.8099999996</v>
      </c>
      <c r="D16" s="469">
        <v>368123.27</v>
      </c>
      <c r="E16" s="469">
        <v>39671.599999999999</v>
      </c>
      <c r="F16" s="469">
        <v>6724180.9799999995</v>
      </c>
      <c r="G16" s="469">
        <v>312850.81</v>
      </c>
      <c r="H16" s="469">
        <v>881.03</v>
      </c>
      <c r="I16" s="469">
        <v>123048.92</v>
      </c>
      <c r="J16" s="469">
        <v>4154853.88</v>
      </c>
      <c r="K16" s="469">
        <v>26300544.890000001</v>
      </c>
      <c r="L16" s="468">
        <v>47075494.68</v>
      </c>
    </row>
    <row r="17" spans="1:11" x14ac:dyDescent="0.2">
      <c r="B17" s="184" t="s">
        <v>120</v>
      </c>
      <c r="C17" s="184" t="s">
        <v>120</v>
      </c>
      <c r="D17" s="184" t="s">
        <v>160</v>
      </c>
      <c r="E17" s="184" t="s">
        <v>160</v>
      </c>
      <c r="F17" s="184" t="s">
        <v>160</v>
      </c>
      <c r="G17" s="184" t="s">
        <v>160</v>
      </c>
      <c r="H17" s="184" t="s">
        <v>160</v>
      </c>
      <c r="I17" s="184" t="s">
        <v>160</v>
      </c>
      <c r="J17" s="184" t="s">
        <v>160</v>
      </c>
      <c r="K17" s="184" t="s">
        <v>160</v>
      </c>
    </row>
    <row r="19" spans="1:11" x14ac:dyDescent="0.2">
      <c r="A19" s="97" t="s">
        <v>109</v>
      </c>
      <c r="B19" s="97" t="s">
        <v>3040</v>
      </c>
      <c r="C19" s="97" t="s">
        <v>3041</v>
      </c>
    </row>
    <row r="20" spans="1:11" x14ac:dyDescent="0.2">
      <c r="A20" t="s">
        <v>104</v>
      </c>
      <c r="B20" s="97">
        <v>160</v>
      </c>
      <c r="C20" s="97">
        <v>295</v>
      </c>
    </row>
    <row r="21" spans="1:11" x14ac:dyDescent="0.2">
      <c r="A21" t="s">
        <v>103</v>
      </c>
      <c r="B21" s="97">
        <v>0</v>
      </c>
      <c r="C21" s="97"/>
    </row>
    <row r="22" spans="1:11" x14ac:dyDescent="0.2">
      <c r="A22" t="s">
        <v>96</v>
      </c>
      <c r="B22" s="97">
        <v>970</v>
      </c>
      <c r="C22" s="97"/>
    </row>
    <row r="24" spans="1:11" x14ac:dyDescent="0.2">
      <c r="B24" s="467">
        <f>+B20+C20+B22+GETPIVOTDATA("CurrentYear",$A$3,"Group","Southern","Type","Asset Ren")+GETPIVOTDATA("CurrentYear",$A$3,"Group","Portland","Type","Asset Ren")+GETPIVOTDATA("CurrentYear",$A$3,"Group","Northern","Type","Asset Ren")+GETPIVOTDATA("CurrentYear",$A$3,"Group","Geelong","Type","Asset Ren")+GETPIVOTDATA("CurrentYear",$A$3,"Group","Central","Type","Asset Ren")+GETPIVOTDATA("CurrentYear",$A$3,"Group","Portland","Type","Other")+GETPIVOTDATA("CurrentYear",$A$3,"Group","Central","Type","Sust")+GETPIVOTDATA("CurrentYear",$A$3,"Group","Geelong","Type","Sust")+GETPIVOTDATA("CurrentYear",$A$3,"Group","Northern","Type","Sust")+GETPIVOTDATA("CurrentYear",$A$3,"Group","Portland","Type","Sust")+GETPIVOTDATA("CurrentYear",$A$3,"Group","Southern","Type","Sust")</f>
        <v>6149160.290000001</v>
      </c>
    </row>
  </sheetData>
  <pageMargins left="0.7" right="0.7" top="0.75" bottom="0.75" header="0.3" footer="0.3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D240"/>
  <sheetViews>
    <sheetView showGridLines="0" zoomScale="110" zoomScaleNormal="110" workbookViewId="0">
      <pane ySplit="4" topLeftCell="A5" activePane="bottomLeft" state="frozen"/>
      <selection activeCell="A13" sqref="A13"/>
      <selection pane="bottomLeft" activeCell="A13" sqref="A13"/>
    </sheetView>
  </sheetViews>
  <sheetFormatPr defaultColWidth="14.7109375" defaultRowHeight="11.25" x14ac:dyDescent="0.2"/>
  <cols>
    <col min="1" max="1" width="36.42578125" style="11" customWidth="1"/>
    <col min="2" max="2" width="10" style="711" customWidth="1"/>
    <col min="3" max="3" width="0.7109375" style="543" customWidth="1"/>
    <col min="4" max="4" width="10" style="543" customWidth="1"/>
    <col min="5" max="5" width="0.7109375" style="543" customWidth="1"/>
    <col min="6" max="6" width="10" style="543" customWidth="1"/>
    <col min="7" max="7" width="0.7109375" style="543" customWidth="1"/>
    <col min="8" max="8" width="10" style="543" customWidth="1"/>
    <col min="9" max="9" width="0.7109375" style="543" customWidth="1"/>
    <col min="10" max="10" width="10" style="543" customWidth="1"/>
    <col min="11" max="11" width="0.7109375" style="543" customWidth="1"/>
    <col min="12" max="12" width="10" style="543" customWidth="1"/>
    <col min="13" max="13" width="0.7109375" style="543" customWidth="1"/>
    <col min="14" max="14" width="10" style="543" customWidth="1"/>
    <col min="15" max="15" width="0.7109375" style="543" customWidth="1"/>
    <col min="16" max="16" width="10" style="543" customWidth="1"/>
    <col min="17" max="17" width="0.7109375" style="543" customWidth="1"/>
    <col min="18" max="18" width="10" style="543" customWidth="1"/>
    <col min="19" max="19" width="0.7109375" style="543" customWidth="1"/>
    <col min="20" max="20" width="10" style="543" customWidth="1"/>
    <col min="21" max="21" width="0.7109375" style="543" customWidth="1"/>
    <col min="22" max="22" width="10" style="543" customWidth="1"/>
    <col min="23" max="23" width="0.7109375" style="543" customWidth="1"/>
    <col min="24" max="24" width="10" style="543" customWidth="1"/>
    <col min="25" max="25" width="0.7109375" style="543" customWidth="1"/>
    <col min="26" max="26" width="10" style="543" customWidth="1"/>
    <col min="27" max="27" width="0.7109375" style="543" customWidth="1"/>
    <col min="28" max="28" width="10" style="543" customWidth="1"/>
    <col min="29" max="29" width="0.7109375" style="543" customWidth="1"/>
    <col min="30" max="30" width="10" style="543" customWidth="1"/>
    <col min="31" max="16384" width="14.7109375" style="11"/>
  </cols>
  <sheetData>
    <row r="1" spans="1:30" s="597" customFormat="1" x14ac:dyDescent="0.2">
      <c r="A1" s="565" t="s">
        <v>10</v>
      </c>
      <c r="B1" s="594" t="s">
        <v>3</v>
      </c>
      <c r="C1" s="595"/>
      <c r="D1" s="596" t="s">
        <v>3</v>
      </c>
      <c r="E1" s="595"/>
      <c r="F1" s="596" t="s">
        <v>1</v>
      </c>
      <c r="G1" s="595"/>
      <c r="H1" s="594" t="s">
        <v>3</v>
      </c>
      <c r="I1" s="595"/>
      <c r="J1" s="596" t="s">
        <v>3</v>
      </c>
      <c r="K1" s="595"/>
      <c r="L1" s="596" t="s">
        <v>1</v>
      </c>
      <c r="M1" s="595"/>
      <c r="N1" s="594" t="s">
        <v>3</v>
      </c>
      <c r="O1" s="595"/>
      <c r="P1" s="596" t="s">
        <v>3</v>
      </c>
      <c r="Q1" s="595"/>
      <c r="R1" s="596" t="s">
        <v>1</v>
      </c>
      <c r="S1" s="595"/>
      <c r="T1" s="594" t="s">
        <v>3</v>
      </c>
      <c r="U1" s="595"/>
      <c r="V1" s="596" t="s">
        <v>3</v>
      </c>
      <c r="W1" s="595"/>
      <c r="X1" s="596" t="s">
        <v>1</v>
      </c>
      <c r="Y1" s="595"/>
      <c r="Z1" s="594" t="s">
        <v>3</v>
      </c>
      <c r="AA1" s="595"/>
      <c r="AB1" s="596" t="s">
        <v>3</v>
      </c>
      <c r="AC1" s="595"/>
      <c r="AD1" s="596" t="s">
        <v>1</v>
      </c>
    </row>
    <row r="2" spans="1:30" s="597" customFormat="1" x14ac:dyDescent="0.2">
      <c r="A2" s="562" t="s">
        <v>148</v>
      </c>
      <c r="B2" s="598">
        <v>2023</v>
      </c>
      <c r="C2" s="595"/>
      <c r="D2" s="584">
        <v>2023</v>
      </c>
      <c r="E2" s="595"/>
      <c r="F2" s="584">
        <v>2023</v>
      </c>
      <c r="G2" s="595"/>
      <c r="H2" s="598">
        <v>2022</v>
      </c>
      <c r="I2" s="595"/>
      <c r="J2" s="584">
        <v>2022</v>
      </c>
      <c r="K2" s="595"/>
      <c r="L2" s="584">
        <v>2022</v>
      </c>
      <c r="M2" s="595"/>
      <c r="N2" s="598">
        <v>2021</v>
      </c>
      <c r="O2" s="595"/>
      <c r="P2" s="584">
        <v>2021</v>
      </c>
      <c r="Q2" s="595"/>
      <c r="R2" s="584">
        <v>2021</v>
      </c>
      <c r="S2" s="595"/>
      <c r="T2" s="598">
        <v>2020</v>
      </c>
      <c r="U2" s="595"/>
      <c r="V2" s="584">
        <v>2020</v>
      </c>
      <c r="W2" s="595"/>
      <c r="X2" s="584">
        <v>2020</v>
      </c>
      <c r="Y2" s="595"/>
      <c r="Z2" s="598">
        <v>2019</v>
      </c>
      <c r="AA2" s="595"/>
      <c r="AB2" s="584">
        <v>2019</v>
      </c>
      <c r="AC2" s="595"/>
      <c r="AD2" s="584">
        <v>2019</v>
      </c>
    </row>
    <row r="3" spans="1:30" s="597" customFormat="1" ht="12.75" x14ac:dyDescent="0.2">
      <c r="A3" s="599"/>
      <c r="B3" s="600" t="s">
        <v>9</v>
      </c>
      <c r="C3" s="601"/>
      <c r="D3" s="602" t="s">
        <v>8</v>
      </c>
      <c r="E3" s="601"/>
      <c r="F3" s="602" t="s">
        <v>8</v>
      </c>
      <c r="G3" s="601"/>
      <c r="H3" s="600" t="s">
        <v>9</v>
      </c>
      <c r="I3" s="601"/>
      <c r="J3" s="602" t="s">
        <v>8</v>
      </c>
      <c r="K3" s="601"/>
      <c r="L3" s="602" t="s">
        <v>8</v>
      </c>
      <c r="M3" s="601"/>
      <c r="N3" s="600" t="s">
        <v>9</v>
      </c>
      <c r="O3" s="601"/>
      <c r="P3" s="602" t="s">
        <v>8</v>
      </c>
      <c r="Q3" s="601"/>
      <c r="R3" s="602" t="s">
        <v>8</v>
      </c>
      <c r="S3" s="601"/>
      <c r="T3" s="600" t="s">
        <v>9</v>
      </c>
      <c r="U3" s="601"/>
      <c r="V3" s="602" t="s">
        <v>8</v>
      </c>
      <c r="W3" s="601"/>
      <c r="X3" s="602" t="s">
        <v>8</v>
      </c>
      <c r="Y3" s="601"/>
      <c r="Z3" s="600" t="s">
        <v>9</v>
      </c>
      <c r="AA3" s="601"/>
      <c r="AB3" s="602" t="s">
        <v>8</v>
      </c>
      <c r="AC3" s="601"/>
      <c r="AD3" s="602" t="s">
        <v>8</v>
      </c>
    </row>
    <row r="4" spans="1:30" s="597" customFormat="1" ht="12.75" x14ac:dyDescent="0.2">
      <c r="A4" s="603"/>
      <c r="B4" s="699" t="s">
        <v>3075</v>
      </c>
      <c r="C4" s="605"/>
      <c r="D4" s="606" t="s">
        <v>3075</v>
      </c>
      <c r="E4" s="605"/>
      <c r="F4" s="606" t="s">
        <v>3075</v>
      </c>
      <c r="G4" s="605"/>
      <c r="H4" s="604" t="s">
        <v>3075</v>
      </c>
      <c r="I4" s="605"/>
      <c r="J4" s="606" t="s">
        <v>3075</v>
      </c>
      <c r="K4" s="605"/>
      <c r="L4" s="606" t="s">
        <v>3075</v>
      </c>
      <c r="M4" s="605"/>
      <c r="N4" s="604" t="s">
        <v>3075</v>
      </c>
      <c r="O4" s="605"/>
      <c r="P4" s="606" t="s">
        <v>3075</v>
      </c>
      <c r="Q4" s="605"/>
      <c r="R4" s="606" t="s">
        <v>3075</v>
      </c>
      <c r="S4" s="605"/>
      <c r="T4" s="604" t="s">
        <v>3075</v>
      </c>
      <c r="U4" s="605"/>
      <c r="V4" s="606" t="s">
        <v>3075</v>
      </c>
      <c r="W4" s="605"/>
      <c r="X4" s="606" t="s">
        <v>3075</v>
      </c>
      <c r="Y4" s="605"/>
      <c r="Z4" s="604" t="s">
        <v>3075</v>
      </c>
      <c r="AA4" s="605"/>
      <c r="AB4" s="606" t="s">
        <v>3075</v>
      </c>
      <c r="AC4" s="605"/>
      <c r="AD4" s="606" t="s">
        <v>3075</v>
      </c>
    </row>
    <row r="5" spans="1:30" x14ac:dyDescent="0.2">
      <c r="A5" s="137"/>
      <c r="B5" s="693"/>
      <c r="C5" s="163"/>
      <c r="D5" s="163"/>
      <c r="E5" s="163"/>
      <c r="F5" s="163"/>
      <c r="G5" s="163"/>
      <c r="H5" s="162"/>
      <c r="I5" s="163"/>
      <c r="J5" s="163"/>
      <c r="K5" s="163"/>
      <c r="L5" s="163"/>
      <c r="M5" s="163"/>
      <c r="N5" s="162"/>
      <c r="O5" s="163"/>
      <c r="P5" s="163"/>
      <c r="Q5" s="163"/>
      <c r="R5" s="163"/>
      <c r="S5" s="163"/>
      <c r="T5" s="162"/>
      <c r="U5" s="163"/>
      <c r="V5" s="163"/>
      <c r="W5" s="163"/>
      <c r="X5" s="163"/>
      <c r="Y5" s="163"/>
      <c r="Z5" s="162"/>
      <c r="AA5" s="163"/>
      <c r="AB5" s="163"/>
      <c r="AC5" s="163"/>
      <c r="AD5" s="163"/>
    </row>
    <row r="6" spans="1:30" x14ac:dyDescent="0.2">
      <c r="A6" s="137" t="s">
        <v>38</v>
      </c>
      <c r="B6" s="700">
        <v>399.4</v>
      </c>
      <c r="C6" s="561"/>
      <c r="D6" s="138">
        <v>399.4</v>
      </c>
      <c r="E6" s="137"/>
      <c r="F6" s="570">
        <v>344.4</v>
      </c>
      <c r="G6" s="561"/>
      <c r="H6" s="623">
        <v>763.5</v>
      </c>
      <c r="I6" s="561"/>
      <c r="J6" s="138">
        <v>763.5</v>
      </c>
      <c r="K6" s="137"/>
      <c r="L6" s="570">
        <v>215.3</v>
      </c>
      <c r="M6" s="561"/>
      <c r="N6" s="623">
        <v>651.8306482214399</v>
      </c>
      <c r="O6" s="561"/>
      <c r="P6" s="138">
        <v>651.8306482214399</v>
      </c>
      <c r="Q6" s="137"/>
      <c r="R6" s="570">
        <v>124.03743149916799</v>
      </c>
      <c r="S6" s="561"/>
      <c r="T6" s="623">
        <v>554.64791122554197</v>
      </c>
      <c r="U6" s="561"/>
      <c r="V6" s="138">
        <v>554.64791122554197</v>
      </c>
      <c r="W6" s="137"/>
      <c r="X6" s="138">
        <v>210.875484097444</v>
      </c>
      <c r="Y6" s="561"/>
      <c r="Z6" s="623">
        <v>576.36724898972091</v>
      </c>
      <c r="AA6" s="561"/>
      <c r="AB6" s="138">
        <v>576.36724898972091</v>
      </c>
      <c r="AC6" s="137"/>
      <c r="AD6" s="138">
        <v>258.07221368923598</v>
      </c>
    </row>
    <row r="7" spans="1:30" x14ac:dyDescent="0.2">
      <c r="A7" s="137"/>
      <c r="B7" s="700"/>
      <c r="C7" s="137"/>
      <c r="D7" s="137"/>
      <c r="E7" s="137"/>
      <c r="F7" s="642"/>
      <c r="G7" s="137"/>
      <c r="H7" s="623"/>
      <c r="I7" s="137"/>
      <c r="J7" s="137"/>
      <c r="K7" s="137"/>
      <c r="L7" s="642"/>
      <c r="M7" s="137"/>
      <c r="N7" s="623"/>
      <c r="O7" s="137"/>
      <c r="P7" s="137"/>
      <c r="Q7" s="137"/>
      <c r="R7" s="642"/>
      <c r="S7" s="137"/>
      <c r="T7" s="623"/>
      <c r="U7" s="137"/>
      <c r="V7" s="137"/>
      <c r="W7" s="137"/>
      <c r="X7" s="137"/>
      <c r="Y7" s="137"/>
      <c r="Z7" s="623"/>
      <c r="AA7" s="137"/>
      <c r="AB7" s="137" t="s">
        <v>299</v>
      </c>
      <c r="AC7" s="137"/>
      <c r="AD7" s="137"/>
    </row>
    <row r="8" spans="1:30" x14ac:dyDescent="0.2">
      <c r="A8" s="137" t="s">
        <v>6</v>
      </c>
      <c r="B8" s="700">
        <v>817.4</v>
      </c>
      <c r="C8" s="137"/>
      <c r="D8" s="138">
        <v>817.4</v>
      </c>
      <c r="E8" s="137"/>
      <c r="F8" s="570">
        <v>1059.2</v>
      </c>
      <c r="G8" s="137"/>
      <c r="H8" s="623">
        <v>993.6</v>
      </c>
      <c r="I8" s="137"/>
      <c r="J8" s="138">
        <v>993.6</v>
      </c>
      <c r="K8" s="137"/>
      <c r="L8" s="570">
        <v>978.4</v>
      </c>
      <c r="M8" s="137"/>
      <c r="N8" s="623">
        <v>577.73034730506208</v>
      </c>
      <c r="O8" s="137"/>
      <c r="P8" s="138">
        <v>577.73034730506208</v>
      </c>
      <c r="Q8" s="137"/>
      <c r="R8" s="570">
        <v>660.70415089702794</v>
      </c>
      <c r="S8" s="137"/>
      <c r="T8" s="623">
        <v>474.35405991696604</v>
      </c>
      <c r="U8" s="137"/>
      <c r="V8" s="138">
        <v>474.35405991696604</v>
      </c>
      <c r="W8" s="137"/>
      <c r="X8" s="138">
        <v>633.47056492416095</v>
      </c>
      <c r="Y8" s="137"/>
      <c r="Z8" s="623">
        <v>600.92427093084007</v>
      </c>
      <c r="AA8" s="137"/>
      <c r="AB8" s="138">
        <v>600.92427093084007</v>
      </c>
      <c r="AC8" s="137"/>
      <c r="AD8" s="138">
        <v>701.31390886016402</v>
      </c>
    </row>
    <row r="9" spans="1:30" x14ac:dyDescent="0.2">
      <c r="A9" s="137" t="s">
        <v>29</v>
      </c>
      <c r="B9" s="700">
        <v>538.4</v>
      </c>
      <c r="C9" s="137"/>
      <c r="D9" s="138">
        <v>538.4</v>
      </c>
      <c r="E9" s="137"/>
      <c r="F9" s="138">
        <v>582.4</v>
      </c>
      <c r="G9" s="137"/>
      <c r="H9" s="623">
        <v>696.1</v>
      </c>
      <c r="I9" s="137"/>
      <c r="J9" s="138">
        <v>696.1</v>
      </c>
      <c r="K9" s="137"/>
      <c r="L9" s="138">
        <v>602.09999999999991</v>
      </c>
      <c r="M9" s="137"/>
      <c r="N9" s="623">
        <v>470.77632487868101</v>
      </c>
      <c r="O9" s="137"/>
      <c r="P9" s="138">
        <v>470.77632487868101</v>
      </c>
      <c r="Q9" s="137"/>
      <c r="R9" s="570">
        <v>387</v>
      </c>
      <c r="S9" s="137"/>
      <c r="T9" s="623">
        <v>338.86011492039</v>
      </c>
      <c r="U9" s="137"/>
      <c r="V9" s="138">
        <v>338.86011492039</v>
      </c>
      <c r="W9" s="137"/>
      <c r="X9" s="570">
        <v>520</v>
      </c>
      <c r="Y9" s="137"/>
      <c r="Z9" s="623">
        <v>286.21537899346697</v>
      </c>
      <c r="AA9" s="137"/>
      <c r="AB9" s="138">
        <v>286.21537899346697</v>
      </c>
      <c r="AC9" s="137"/>
      <c r="AD9" s="570">
        <v>342.47449224880802</v>
      </c>
    </row>
    <row r="10" spans="1:30" x14ac:dyDescent="0.2">
      <c r="A10" s="137" t="s">
        <v>30</v>
      </c>
      <c r="B10" s="700">
        <v>-782.1</v>
      </c>
      <c r="C10" s="137"/>
      <c r="D10" s="138">
        <v>-782.1</v>
      </c>
      <c r="E10" s="137"/>
      <c r="F10" s="138">
        <v>-799.4</v>
      </c>
      <c r="G10" s="137"/>
      <c r="H10" s="623">
        <v>-1073.8</v>
      </c>
      <c r="I10" s="137"/>
      <c r="J10" s="138">
        <v>-1073.8</v>
      </c>
      <c r="K10" s="137"/>
      <c r="L10" s="138">
        <v>-802.9</v>
      </c>
      <c r="M10" s="137"/>
      <c r="N10" s="623">
        <v>-927.79543591919196</v>
      </c>
      <c r="O10" s="137"/>
      <c r="P10" s="138">
        <v>-927.79543591919196</v>
      </c>
      <c r="Q10" s="137"/>
      <c r="R10" s="570">
        <v>-727.30000000000007</v>
      </c>
      <c r="S10" s="137"/>
      <c r="T10" s="623">
        <v>-798.45267622306301</v>
      </c>
      <c r="U10" s="137"/>
      <c r="V10" s="138">
        <v>-798.45267622306301</v>
      </c>
      <c r="W10" s="137"/>
      <c r="X10" s="570">
        <v>-953.2</v>
      </c>
      <c r="Y10" s="137"/>
      <c r="Z10" s="623">
        <v>-883.000036928599</v>
      </c>
      <c r="AA10" s="137"/>
      <c r="AB10" s="138">
        <v>-883.000036928599</v>
      </c>
      <c r="AC10" s="137"/>
      <c r="AD10" s="570">
        <v>-781.01842137206199</v>
      </c>
    </row>
    <row r="11" spans="1:30" x14ac:dyDescent="0.2">
      <c r="A11" s="150" t="s">
        <v>31</v>
      </c>
      <c r="B11" s="701">
        <v>573.69999999999993</v>
      </c>
      <c r="C11" s="108"/>
      <c r="D11" s="108">
        <v>573.69999999999993</v>
      </c>
      <c r="E11" s="108"/>
      <c r="F11" s="645">
        <v>842.19999999999993</v>
      </c>
      <c r="G11" s="108"/>
      <c r="H11" s="621">
        <v>615.90000000000009</v>
      </c>
      <c r="I11" s="108"/>
      <c r="J11" s="108">
        <v>615.90000000000009</v>
      </c>
      <c r="K11" s="108"/>
      <c r="L11" s="645">
        <v>777.6</v>
      </c>
      <c r="M11" s="108"/>
      <c r="N11" s="621">
        <v>120.70000000000005</v>
      </c>
      <c r="O11" s="108"/>
      <c r="P11" s="108">
        <v>120.70000000000005</v>
      </c>
      <c r="Q11" s="108"/>
      <c r="R11" s="645">
        <v>320.40000000000009</v>
      </c>
      <c r="S11" s="108"/>
      <c r="T11" s="621">
        <v>14.799999999999955</v>
      </c>
      <c r="U11" s="108"/>
      <c r="V11" s="108">
        <v>14.799999999999955</v>
      </c>
      <c r="W11" s="108"/>
      <c r="X11" s="645">
        <v>200.27056492416091</v>
      </c>
      <c r="Y11" s="108"/>
      <c r="Z11" s="621">
        <v>4.0999999999999091</v>
      </c>
      <c r="AA11" s="108"/>
      <c r="AB11" s="108">
        <v>4.0999999999999091</v>
      </c>
      <c r="AC11" s="108"/>
      <c r="AD11" s="108">
        <v>262.79999999999995</v>
      </c>
    </row>
    <row r="12" spans="1:30" x14ac:dyDescent="0.2">
      <c r="A12" s="137"/>
      <c r="B12" s="700"/>
      <c r="C12" s="137"/>
      <c r="D12" s="137" t="s">
        <v>299</v>
      </c>
      <c r="E12" s="137"/>
      <c r="F12" s="642"/>
      <c r="G12" s="137"/>
      <c r="H12" s="623"/>
      <c r="I12" s="137"/>
      <c r="J12" s="137" t="s">
        <v>299</v>
      </c>
      <c r="K12" s="137"/>
      <c r="L12" s="642"/>
      <c r="M12" s="137"/>
      <c r="N12" s="623"/>
      <c r="O12" s="137"/>
      <c r="P12" s="137" t="s">
        <v>299</v>
      </c>
      <c r="Q12" s="137"/>
      <c r="R12" s="642"/>
      <c r="S12" s="137"/>
      <c r="T12" s="623"/>
      <c r="U12" s="137"/>
      <c r="V12" s="137" t="s">
        <v>299</v>
      </c>
      <c r="W12" s="137"/>
      <c r="X12" s="642"/>
      <c r="Y12" s="137"/>
      <c r="Z12" s="623"/>
      <c r="AA12" s="137"/>
      <c r="AB12" s="137" t="s">
        <v>299</v>
      </c>
      <c r="AC12" s="137"/>
      <c r="AD12" s="137"/>
    </row>
    <row r="13" spans="1:30" x14ac:dyDescent="0.2">
      <c r="A13" s="137" t="s">
        <v>3082</v>
      </c>
      <c r="B13" s="700">
        <v>3191.4</v>
      </c>
      <c r="C13" s="137"/>
      <c r="D13" s="138">
        <v>3191.4</v>
      </c>
      <c r="E13" s="137"/>
      <c r="F13" s="570">
        <v>3009.8</v>
      </c>
      <c r="G13" s="137"/>
      <c r="H13" s="623">
        <v>4246.8999999999996</v>
      </c>
      <c r="I13" s="137"/>
      <c r="J13" s="138">
        <v>4246.8999999999996</v>
      </c>
      <c r="K13" s="137"/>
      <c r="L13" s="570">
        <v>3784.7</v>
      </c>
      <c r="M13" s="137"/>
      <c r="N13" s="623">
        <v>3928.8502591190199</v>
      </c>
      <c r="O13" s="137"/>
      <c r="P13" s="138">
        <v>3928.8502591190199</v>
      </c>
      <c r="Q13" s="137"/>
      <c r="R13" s="570">
        <v>3996.344960369433</v>
      </c>
      <c r="S13" s="137"/>
      <c r="T13" s="623">
        <v>4071.7492753273405</v>
      </c>
      <c r="U13" s="137"/>
      <c r="V13" s="138">
        <v>4071.7492753273405</v>
      </c>
      <c r="W13" s="137"/>
      <c r="X13" s="570">
        <v>4379</v>
      </c>
      <c r="Y13" s="137"/>
      <c r="Z13" s="623">
        <v>4189.9552631391398</v>
      </c>
      <c r="AA13" s="137"/>
      <c r="AB13" s="107">
        <v>4189.9552631391398</v>
      </c>
      <c r="AC13" s="107"/>
      <c r="AD13" s="107">
        <v>4067.9922477694504</v>
      </c>
    </row>
    <row r="14" spans="1:30" x14ac:dyDescent="0.2">
      <c r="A14" s="642" t="s">
        <v>3083</v>
      </c>
      <c r="B14" s="700">
        <v>209.3</v>
      </c>
      <c r="C14" s="137"/>
      <c r="D14" s="138">
        <v>209.3</v>
      </c>
      <c r="E14" s="642"/>
      <c r="F14" s="643">
        <v>206.5</v>
      </c>
      <c r="G14" s="635"/>
      <c r="H14" s="623">
        <v>221</v>
      </c>
      <c r="I14" s="137"/>
      <c r="J14" s="138">
        <v>221</v>
      </c>
      <c r="K14" s="642"/>
      <c r="L14" s="643">
        <v>198.3</v>
      </c>
      <c r="M14" s="635"/>
      <c r="N14" s="623">
        <v>214.5</v>
      </c>
      <c r="O14" s="137"/>
      <c r="P14" s="138">
        <v>214.5</v>
      </c>
      <c r="Q14" s="642"/>
      <c r="R14" s="643">
        <v>214.90767761309738</v>
      </c>
      <c r="S14" s="635"/>
      <c r="T14" s="623">
        <v>221.1</v>
      </c>
      <c r="U14" s="137"/>
      <c r="V14" s="138">
        <v>221.1</v>
      </c>
      <c r="W14" s="642"/>
      <c r="X14" s="643">
        <v>209.39999999999964</v>
      </c>
      <c r="Y14" s="635"/>
      <c r="Z14" s="636">
        <v>0</v>
      </c>
      <c r="AA14" s="635"/>
      <c r="AB14" s="637">
        <v>0</v>
      </c>
      <c r="AC14" s="637"/>
      <c r="AD14" s="637">
        <v>0</v>
      </c>
    </row>
    <row r="15" spans="1:30" x14ac:dyDescent="0.2">
      <c r="A15" s="641" t="s">
        <v>32</v>
      </c>
      <c r="B15" s="701">
        <v>3400.7000000000003</v>
      </c>
      <c r="C15" s="108"/>
      <c r="D15" s="108">
        <v>3400.7000000000003</v>
      </c>
      <c r="E15" s="108"/>
      <c r="F15" s="646">
        <v>3216.3</v>
      </c>
      <c r="G15" s="638"/>
      <c r="H15" s="621">
        <v>4467.8999999999996</v>
      </c>
      <c r="I15" s="108"/>
      <c r="J15" s="108">
        <v>4467.8999999999996</v>
      </c>
      <c r="K15" s="108"/>
      <c r="L15" s="646">
        <v>3983</v>
      </c>
      <c r="M15" s="638"/>
      <c r="N15" s="621">
        <v>4143.3999999999996</v>
      </c>
      <c r="O15" s="108"/>
      <c r="P15" s="108">
        <v>4143.3999999999996</v>
      </c>
      <c r="Q15" s="108"/>
      <c r="R15" s="646">
        <v>4211.2</v>
      </c>
      <c r="S15" s="638"/>
      <c r="T15" s="621">
        <v>4292.8492753273404</v>
      </c>
      <c r="U15" s="108"/>
      <c r="V15" s="108">
        <v>4292.8492753273404</v>
      </c>
      <c r="W15" s="108"/>
      <c r="X15" s="646">
        <v>4588.3999999999996</v>
      </c>
      <c r="Y15" s="638"/>
      <c r="Z15" s="639">
        <v>4189.9552631391398</v>
      </c>
      <c r="AA15" s="638"/>
      <c r="AB15" s="640">
        <v>4189.9552631391398</v>
      </c>
      <c r="AC15" s="108"/>
      <c r="AD15" s="640">
        <v>4067.9922477694504</v>
      </c>
    </row>
    <row r="16" spans="1:30" x14ac:dyDescent="0.2">
      <c r="A16" s="137"/>
      <c r="B16" s="700"/>
      <c r="C16" s="137"/>
      <c r="D16" s="137" t="s">
        <v>299</v>
      </c>
      <c r="E16" s="137"/>
      <c r="F16" s="642"/>
      <c r="G16" s="137"/>
      <c r="H16" s="623"/>
      <c r="I16" s="137"/>
      <c r="J16" s="137" t="s">
        <v>299</v>
      </c>
      <c r="K16" s="137"/>
      <c r="L16" s="642"/>
      <c r="M16" s="137"/>
      <c r="N16" s="623"/>
      <c r="O16" s="137"/>
      <c r="P16" s="137" t="s">
        <v>299</v>
      </c>
      <c r="Q16" s="137"/>
      <c r="R16" s="642"/>
      <c r="S16" s="137"/>
      <c r="T16" s="623"/>
      <c r="U16" s="137"/>
      <c r="V16" s="137" t="s">
        <v>299</v>
      </c>
      <c r="W16" s="137"/>
      <c r="X16" s="642"/>
      <c r="Y16" s="137"/>
      <c r="Z16" s="623"/>
      <c r="AA16" s="137"/>
      <c r="AB16" s="137" t="s">
        <v>299</v>
      </c>
      <c r="AC16" s="137"/>
      <c r="AD16" s="137"/>
    </row>
    <row r="17" spans="1:30" x14ac:dyDescent="0.2">
      <c r="A17" s="137" t="s">
        <v>33</v>
      </c>
      <c r="B17" s="700">
        <v>2394.4</v>
      </c>
      <c r="C17" s="561"/>
      <c r="D17" s="138">
        <v>2394.4</v>
      </c>
      <c r="E17" s="137"/>
      <c r="F17" s="570">
        <v>2338.5</v>
      </c>
      <c r="G17" s="561"/>
      <c r="H17" s="623">
        <v>3281.4</v>
      </c>
      <c r="I17" s="561"/>
      <c r="J17" s="138">
        <v>3281.4</v>
      </c>
      <c r="K17" s="137"/>
      <c r="L17" s="570">
        <v>2916.9</v>
      </c>
      <c r="M17" s="561"/>
      <c r="N17" s="623">
        <v>3000.94006205904</v>
      </c>
      <c r="O17" s="561"/>
      <c r="P17" s="138">
        <v>3000.94006205904</v>
      </c>
      <c r="Q17" s="137"/>
      <c r="R17" s="570">
        <v>2909.26133476825</v>
      </c>
      <c r="S17" s="561"/>
      <c r="T17" s="623">
        <v>3019.73001615462</v>
      </c>
      <c r="U17" s="561"/>
      <c r="V17" s="138">
        <v>3019.73001615462</v>
      </c>
      <c r="W17" s="137"/>
      <c r="X17" s="570">
        <v>3370.5</v>
      </c>
      <c r="Y17" s="561"/>
      <c r="Z17" s="623">
        <v>3179.51532975694</v>
      </c>
      <c r="AA17" s="561"/>
      <c r="AB17" s="138">
        <v>3179.51532975694</v>
      </c>
      <c r="AC17" s="137"/>
      <c r="AD17" s="138">
        <v>3072.9549068101601</v>
      </c>
    </row>
    <row r="18" spans="1:30" x14ac:dyDescent="0.2">
      <c r="A18" s="137"/>
      <c r="B18" s="700"/>
      <c r="C18" s="561"/>
      <c r="D18" s="138"/>
      <c r="E18" s="137"/>
      <c r="F18" s="570"/>
      <c r="G18" s="561"/>
      <c r="H18" s="623"/>
      <c r="I18" s="561"/>
      <c r="J18" s="138"/>
      <c r="K18" s="137"/>
      <c r="L18" s="570"/>
      <c r="M18" s="561"/>
      <c r="N18" s="623"/>
      <c r="O18" s="561"/>
      <c r="P18" s="138"/>
      <c r="Q18" s="137"/>
      <c r="R18" s="570"/>
      <c r="S18" s="561"/>
      <c r="T18" s="623"/>
      <c r="U18" s="561"/>
      <c r="V18" s="138"/>
      <c r="W18" s="137"/>
      <c r="X18" s="570"/>
      <c r="Y18" s="561"/>
      <c r="Z18" s="623"/>
      <c r="AA18" s="561"/>
      <c r="AB18" s="138"/>
      <c r="AC18" s="137"/>
      <c r="AD18" s="138"/>
    </row>
    <row r="19" spans="1:30" x14ac:dyDescent="0.2">
      <c r="A19" s="137" t="s">
        <v>3102</v>
      </c>
      <c r="B19" s="700">
        <v>2207.3000000000002</v>
      </c>
      <c r="C19" s="561"/>
      <c r="D19" s="138">
        <v>2207.3000000000002</v>
      </c>
      <c r="E19" s="137"/>
      <c r="F19" s="570">
        <v>2107.1999999999998</v>
      </c>
      <c r="G19" s="561"/>
      <c r="H19" s="623">
        <v>0</v>
      </c>
      <c r="I19" s="561"/>
      <c r="J19" s="138">
        <v>0</v>
      </c>
      <c r="K19" s="137"/>
      <c r="L19" s="570">
        <v>0</v>
      </c>
      <c r="M19" s="561"/>
      <c r="N19" s="623">
        <v>0</v>
      </c>
      <c r="O19" s="561"/>
      <c r="P19" s="138">
        <v>0</v>
      </c>
      <c r="Q19" s="137"/>
      <c r="R19" s="570">
        <v>0</v>
      </c>
      <c r="S19" s="561"/>
      <c r="T19" s="623">
        <v>0</v>
      </c>
      <c r="U19" s="561"/>
      <c r="V19" s="138">
        <v>0</v>
      </c>
      <c r="W19" s="137"/>
      <c r="X19" s="570">
        <v>0</v>
      </c>
      <c r="Y19" s="561"/>
      <c r="Z19" s="623">
        <v>0</v>
      </c>
      <c r="AA19" s="561"/>
      <c r="AB19" s="138">
        <v>0</v>
      </c>
      <c r="AC19" s="137"/>
      <c r="AD19" s="138">
        <v>0</v>
      </c>
    </row>
    <row r="20" spans="1:30" x14ac:dyDescent="0.2">
      <c r="A20" s="137"/>
      <c r="B20" s="702"/>
      <c r="C20" s="137"/>
      <c r="D20" s="137" t="s">
        <v>299</v>
      </c>
      <c r="E20" s="137"/>
      <c r="F20" s="642"/>
      <c r="G20" s="137"/>
      <c r="H20" s="624"/>
      <c r="I20" s="137"/>
      <c r="J20" s="137" t="s">
        <v>299</v>
      </c>
      <c r="K20" s="137"/>
      <c r="L20" s="642"/>
      <c r="M20" s="137"/>
      <c r="N20" s="624"/>
      <c r="O20" s="137"/>
      <c r="P20" s="137" t="s">
        <v>299</v>
      </c>
      <c r="Q20" s="137"/>
      <c r="R20" s="642"/>
      <c r="S20" s="137"/>
      <c r="T20" s="624"/>
      <c r="U20" s="137"/>
      <c r="V20" s="137" t="s">
        <v>299</v>
      </c>
      <c r="W20" s="137"/>
      <c r="X20" s="642"/>
      <c r="Y20" s="137"/>
      <c r="Z20" s="624"/>
      <c r="AA20" s="137"/>
      <c r="AB20" s="137" t="s">
        <v>299</v>
      </c>
      <c r="AC20" s="137"/>
      <c r="AD20" s="137"/>
    </row>
    <row r="21" spans="1:30" x14ac:dyDescent="0.2">
      <c r="A21" s="642" t="s">
        <v>3084</v>
      </c>
      <c r="B21" s="700">
        <v>-234.70000000000002</v>
      </c>
      <c r="C21" s="137"/>
      <c r="D21" s="138">
        <v>-234.70000000000002</v>
      </c>
      <c r="E21" s="642"/>
      <c r="F21" s="570">
        <v>-230.1</v>
      </c>
      <c r="G21" s="137"/>
      <c r="H21" s="623">
        <v>-245.9</v>
      </c>
      <c r="I21" s="137"/>
      <c r="J21" s="138">
        <v>-245.9</v>
      </c>
      <c r="K21" s="642"/>
      <c r="L21" s="570">
        <v>-225.7</v>
      </c>
      <c r="M21" s="137"/>
      <c r="N21" s="623">
        <v>-242.4999280439884</v>
      </c>
      <c r="O21" s="137"/>
      <c r="P21" s="138">
        <v>-242.4999280439884</v>
      </c>
      <c r="Q21" s="642"/>
      <c r="R21" s="570">
        <v>-241.92673609948349</v>
      </c>
      <c r="S21" s="137"/>
      <c r="T21" s="623">
        <v>-247.71219005536591</v>
      </c>
      <c r="U21" s="137"/>
      <c r="V21" s="138">
        <v>-247.71219005536591</v>
      </c>
      <c r="W21" s="642"/>
      <c r="X21" s="570">
        <v>-236</v>
      </c>
      <c r="Y21" s="137"/>
      <c r="Z21" s="623">
        <v>0</v>
      </c>
      <c r="AA21" s="137"/>
      <c r="AB21" s="575">
        <v>0</v>
      </c>
      <c r="AC21" s="575"/>
      <c r="AD21" s="575">
        <v>0</v>
      </c>
    </row>
    <row r="22" spans="1:30" x14ac:dyDescent="0.2">
      <c r="A22" s="644" t="s">
        <v>3062</v>
      </c>
      <c r="B22" s="700">
        <v>-582.40000000000009</v>
      </c>
      <c r="C22" s="137"/>
      <c r="D22" s="138">
        <v>-582.40000000000009</v>
      </c>
      <c r="E22" s="137"/>
      <c r="F22" s="138">
        <v>-645.40000000000055</v>
      </c>
      <c r="G22" s="137"/>
      <c r="H22" s="623">
        <v>-881.09999999999866</v>
      </c>
      <c r="I22" s="137"/>
      <c r="J22" s="138">
        <v>-881.09999999999866</v>
      </c>
      <c r="K22" s="137"/>
      <c r="L22" s="138">
        <v>-609.99999999999932</v>
      </c>
      <c r="M22" s="137"/>
      <c r="N22" s="623">
        <v>-636.89999999999918</v>
      </c>
      <c r="O22" s="137"/>
      <c r="P22" s="138">
        <v>-636.89999999999918</v>
      </c>
      <c r="Q22" s="137"/>
      <c r="R22" s="570">
        <v>-567.79999999999927</v>
      </c>
      <c r="S22" s="137"/>
      <c r="T22" s="623">
        <v>-560.6000000000007</v>
      </c>
      <c r="U22" s="137"/>
      <c r="V22" s="138">
        <v>-560.6000000000007</v>
      </c>
      <c r="W22" s="137"/>
      <c r="X22" s="570">
        <v>-709.19999999999993</v>
      </c>
      <c r="Y22" s="137"/>
      <c r="Z22" s="623">
        <v>-605.79999999999927</v>
      </c>
      <c r="AA22" s="137"/>
      <c r="AB22" s="138">
        <v>-605.79999999999927</v>
      </c>
      <c r="AC22" s="137"/>
      <c r="AD22" s="138">
        <v>-604.40000000000009</v>
      </c>
    </row>
    <row r="23" spans="1:30" x14ac:dyDescent="0.2">
      <c r="A23" s="137" t="s">
        <v>34</v>
      </c>
      <c r="B23" s="702"/>
      <c r="C23" s="137"/>
      <c r="D23" s="137"/>
      <c r="E23" s="137"/>
      <c r="F23" s="642"/>
      <c r="G23" s="137"/>
      <c r="H23" s="624"/>
      <c r="I23" s="137"/>
      <c r="J23" s="137"/>
      <c r="K23" s="137"/>
      <c r="L23" s="642"/>
      <c r="M23" s="137"/>
      <c r="N23" s="624"/>
      <c r="O23" s="137"/>
      <c r="P23" s="137"/>
      <c r="Q23" s="137"/>
      <c r="R23" s="642"/>
      <c r="S23" s="137"/>
      <c r="T23" s="624"/>
      <c r="U23" s="137"/>
      <c r="V23" s="137"/>
      <c r="W23" s="137"/>
      <c r="X23" s="642"/>
      <c r="Y23" s="137"/>
      <c r="Z23" s="624"/>
      <c r="AA23" s="137"/>
      <c r="AB23" s="137"/>
      <c r="AC23" s="137"/>
      <c r="AD23" s="137"/>
    </row>
    <row r="24" spans="1:30" x14ac:dyDescent="0.2">
      <c r="A24" s="137" t="s">
        <v>35</v>
      </c>
      <c r="B24" s="700">
        <v>-21.1</v>
      </c>
      <c r="C24" s="561"/>
      <c r="D24" s="138">
        <v>-21.1</v>
      </c>
      <c r="E24" s="137"/>
      <c r="F24" s="570">
        <v>-20.399999999999999</v>
      </c>
      <c r="G24" s="561"/>
      <c r="H24" s="623">
        <v>-21.1</v>
      </c>
      <c r="I24" s="561"/>
      <c r="J24" s="138">
        <v>-21.1</v>
      </c>
      <c r="K24" s="137"/>
      <c r="L24" s="570">
        <v>-15.1</v>
      </c>
      <c r="M24" s="561"/>
      <c r="N24" s="623">
        <v>-18.8</v>
      </c>
      <c r="O24" s="561"/>
      <c r="P24" s="138">
        <v>-18.8</v>
      </c>
      <c r="Q24" s="137"/>
      <c r="R24" s="570">
        <v>-20.490084847212398</v>
      </c>
      <c r="S24" s="561"/>
      <c r="T24" s="623">
        <v>-21.176694699583301</v>
      </c>
      <c r="U24" s="561"/>
      <c r="V24" s="138">
        <v>-21.176694699583301</v>
      </c>
      <c r="W24" s="137"/>
      <c r="X24" s="570">
        <v>-24.651012150000891</v>
      </c>
      <c r="Y24" s="561"/>
      <c r="Z24" s="623">
        <v>-1213.4460413715301</v>
      </c>
      <c r="AA24" s="561"/>
      <c r="AB24" s="138">
        <v>-1213.4460413715301</v>
      </c>
      <c r="AC24" s="137"/>
      <c r="AD24" s="138">
        <v>-1151.0807565549701</v>
      </c>
    </row>
    <row r="25" spans="1:30" x14ac:dyDescent="0.2">
      <c r="A25" s="137" t="s">
        <v>36</v>
      </c>
      <c r="B25" s="700">
        <v>-1710.6</v>
      </c>
      <c r="C25" s="561"/>
      <c r="D25" s="138">
        <v>-1710.6</v>
      </c>
      <c r="E25" s="137"/>
      <c r="F25" s="570">
        <v>-1676.8</v>
      </c>
      <c r="G25" s="561"/>
      <c r="H25" s="623">
        <v>-1690.9</v>
      </c>
      <c r="I25" s="561"/>
      <c r="J25" s="138">
        <v>-1690.9</v>
      </c>
      <c r="K25" s="137"/>
      <c r="L25" s="570">
        <v>-1539.2</v>
      </c>
      <c r="M25" s="561"/>
      <c r="N25" s="623">
        <v>-1650</v>
      </c>
      <c r="O25" s="561"/>
      <c r="P25" s="138">
        <v>-1650</v>
      </c>
      <c r="Q25" s="137"/>
      <c r="R25" s="570">
        <v>-1579.6415858173298</v>
      </c>
      <c r="S25" s="561"/>
      <c r="T25" s="623">
        <v>-1849.1021309772102</v>
      </c>
      <c r="U25" s="561"/>
      <c r="V25" s="138">
        <v>-1849.1021309772102</v>
      </c>
      <c r="W25" s="137"/>
      <c r="X25" s="570">
        <v>-2567.8003980184731</v>
      </c>
      <c r="Y25" s="561"/>
      <c r="Z25" s="623">
        <v>-1443.02521814187</v>
      </c>
      <c r="AA25" s="561"/>
      <c r="AB25" s="138">
        <v>-1443.02521814187</v>
      </c>
      <c r="AC25" s="137"/>
      <c r="AD25" s="138">
        <v>-1343.53528991193</v>
      </c>
    </row>
    <row r="26" spans="1:30" x14ac:dyDescent="0.2">
      <c r="A26" s="137"/>
      <c r="B26" s="702"/>
      <c r="C26" s="137"/>
      <c r="D26" s="137" t="s">
        <v>299</v>
      </c>
      <c r="E26" s="137"/>
      <c r="F26" s="642"/>
      <c r="G26" s="137"/>
      <c r="H26" s="624"/>
      <c r="I26" s="137"/>
      <c r="J26" s="137" t="s">
        <v>299</v>
      </c>
      <c r="K26" s="137"/>
      <c r="L26" s="642"/>
      <c r="M26" s="137"/>
      <c r="N26" s="624"/>
      <c r="O26" s="137"/>
      <c r="P26" s="137" t="s">
        <v>299</v>
      </c>
      <c r="Q26" s="137"/>
      <c r="R26" s="642"/>
      <c r="S26" s="137"/>
      <c r="T26" s="624"/>
      <c r="U26" s="137"/>
      <c r="V26" s="137" t="s">
        <v>299</v>
      </c>
      <c r="W26" s="137"/>
      <c r="X26" s="642"/>
      <c r="Y26" s="137"/>
      <c r="Z26" s="624"/>
      <c r="AA26" s="137"/>
      <c r="AB26" s="137" t="s">
        <v>299</v>
      </c>
      <c r="AC26" s="137"/>
      <c r="AD26" s="137"/>
    </row>
    <row r="27" spans="1:30" x14ac:dyDescent="0.2">
      <c r="A27" s="564" t="s">
        <v>37</v>
      </c>
      <c r="B27" s="703">
        <v>6426.7</v>
      </c>
      <c r="C27" s="174"/>
      <c r="D27" s="175">
        <v>6426.7</v>
      </c>
      <c r="E27" s="174"/>
      <c r="F27" s="571">
        <v>6275.9</v>
      </c>
      <c r="G27" s="174"/>
      <c r="H27" s="625">
        <v>6289.7</v>
      </c>
      <c r="I27" s="174"/>
      <c r="J27" s="175">
        <v>6289.7</v>
      </c>
      <c r="K27" s="174"/>
      <c r="L27" s="571">
        <v>5502.8</v>
      </c>
      <c r="M27" s="174"/>
      <c r="N27" s="625">
        <v>5368.6</v>
      </c>
      <c r="O27" s="174"/>
      <c r="P27" s="175">
        <v>5368.6</v>
      </c>
      <c r="Q27" s="174"/>
      <c r="R27" s="571">
        <v>5155.1000000000013</v>
      </c>
      <c r="S27" s="174"/>
      <c r="T27" s="625">
        <v>5203.2999999999993</v>
      </c>
      <c r="U27" s="174"/>
      <c r="V27" s="175">
        <v>5203.2999999999993</v>
      </c>
      <c r="W27" s="174"/>
      <c r="X27" s="571">
        <v>4832.3999999999996</v>
      </c>
      <c r="Y27" s="174"/>
      <c r="Z27" s="625">
        <v>4687.8</v>
      </c>
      <c r="AA27" s="174"/>
      <c r="AB27" s="175">
        <v>4687.8</v>
      </c>
      <c r="AC27" s="174"/>
      <c r="AD27" s="175">
        <v>4562.8999999999987</v>
      </c>
    </row>
    <row r="28" spans="1:30" x14ac:dyDescent="0.2">
      <c r="A28" s="137"/>
      <c r="B28" s="704"/>
      <c r="C28" s="137"/>
      <c r="D28" s="137" t="s">
        <v>299</v>
      </c>
      <c r="E28" s="137"/>
      <c r="F28" s="642"/>
      <c r="G28" s="137"/>
      <c r="H28" s="661"/>
      <c r="I28" s="137"/>
      <c r="J28" s="137" t="s">
        <v>299</v>
      </c>
      <c r="K28" s="137"/>
      <c r="L28" s="642"/>
      <c r="M28" s="137"/>
      <c r="N28" s="661"/>
      <c r="O28" s="137"/>
      <c r="P28" s="137" t="s">
        <v>299</v>
      </c>
      <c r="Q28" s="137"/>
      <c r="R28" s="642"/>
      <c r="S28" s="137"/>
      <c r="T28" s="661"/>
      <c r="U28" s="137"/>
      <c r="V28" s="137" t="s">
        <v>299</v>
      </c>
      <c r="W28" s="137"/>
      <c r="X28" s="642"/>
      <c r="Y28" s="137"/>
      <c r="Z28" s="624"/>
      <c r="AA28" s="137"/>
      <c r="AB28" s="137" t="s">
        <v>299</v>
      </c>
      <c r="AC28" s="137"/>
      <c r="AD28" s="137"/>
    </row>
    <row r="29" spans="1:30" ht="12.75" x14ac:dyDescent="0.2">
      <c r="A29" s="564" t="s">
        <v>87</v>
      </c>
      <c r="B29" s="703">
        <v>6426.7</v>
      </c>
      <c r="C29" s="176"/>
      <c r="D29" s="175">
        <v>6426.7</v>
      </c>
      <c r="E29" s="176"/>
      <c r="F29" s="571">
        <v>6275.9</v>
      </c>
      <c r="G29" s="176"/>
      <c r="H29" s="625">
        <v>6289.7</v>
      </c>
      <c r="I29" s="176"/>
      <c r="J29" s="175">
        <v>6289.7</v>
      </c>
      <c r="K29" s="176"/>
      <c r="L29" s="571">
        <v>5502.8</v>
      </c>
      <c r="M29" s="176"/>
      <c r="N29" s="625">
        <v>5368.6</v>
      </c>
      <c r="O29" s="176"/>
      <c r="P29" s="175">
        <v>5368.6</v>
      </c>
      <c r="Q29" s="176"/>
      <c r="R29" s="571">
        <v>5155.1000000000004</v>
      </c>
      <c r="S29" s="176"/>
      <c r="T29" s="625">
        <v>5203.2999999999993</v>
      </c>
      <c r="U29" s="176"/>
      <c r="V29" s="175">
        <v>5203.2999999999993</v>
      </c>
      <c r="W29" s="176"/>
      <c r="X29" s="571">
        <v>4832.3999999999996</v>
      </c>
      <c r="Y29" s="176"/>
      <c r="Z29" s="625">
        <v>4687.8</v>
      </c>
      <c r="AA29" s="176"/>
      <c r="AB29" s="175">
        <v>4687.8</v>
      </c>
      <c r="AC29" s="176"/>
      <c r="AD29" s="175">
        <v>4562.8999999999996</v>
      </c>
    </row>
    <row r="30" spans="1:30" x14ac:dyDescent="0.2">
      <c r="A30" s="564" t="s">
        <v>3044</v>
      </c>
      <c r="B30" s="705"/>
      <c r="C30" s="137"/>
      <c r="D30" s="138"/>
      <c r="E30" s="137"/>
      <c r="F30" s="570"/>
      <c r="G30" s="137"/>
      <c r="H30" s="29"/>
      <c r="I30" s="137"/>
      <c r="J30" s="138"/>
      <c r="K30" s="137"/>
      <c r="L30" s="570"/>
      <c r="M30" s="137"/>
      <c r="N30" s="29"/>
      <c r="O30" s="137"/>
      <c r="P30" s="138"/>
      <c r="Q30" s="137"/>
      <c r="R30" s="570"/>
      <c r="S30" s="137"/>
      <c r="T30" s="29"/>
      <c r="U30" s="137"/>
      <c r="V30" s="138"/>
      <c r="W30" s="137"/>
      <c r="X30" s="570"/>
      <c r="Y30" s="137"/>
      <c r="Z30" s="29"/>
      <c r="AA30" s="137"/>
      <c r="AB30" s="138"/>
      <c r="AC30" s="137"/>
      <c r="AD30" s="138"/>
    </row>
    <row r="31" spans="1:30" x14ac:dyDescent="0.2">
      <c r="A31" s="137" t="s">
        <v>39</v>
      </c>
      <c r="B31" s="706">
        <v>486.8</v>
      </c>
      <c r="C31" s="175"/>
      <c r="D31" s="175">
        <v>304.3</v>
      </c>
      <c r="E31" s="175"/>
      <c r="F31" s="175">
        <v>182.5</v>
      </c>
      <c r="G31" s="175"/>
      <c r="H31" s="173">
        <v>457.2</v>
      </c>
      <c r="I31" s="175"/>
      <c r="J31" s="175">
        <v>350.9</v>
      </c>
      <c r="K31" s="175"/>
      <c r="L31" s="175">
        <v>106.3</v>
      </c>
      <c r="M31" s="175"/>
      <c r="N31" s="173">
        <v>394.2</v>
      </c>
      <c r="O31" s="175"/>
      <c r="P31" s="175">
        <v>208.2</v>
      </c>
      <c r="Q31" s="175"/>
      <c r="R31" s="571">
        <v>186</v>
      </c>
      <c r="S31" s="175"/>
      <c r="T31" s="173">
        <v>304.5</v>
      </c>
      <c r="U31" s="175"/>
      <c r="V31" s="175">
        <v>145</v>
      </c>
      <c r="W31" s="175"/>
      <c r="X31" s="571">
        <v>159.5</v>
      </c>
      <c r="Y31" s="175"/>
      <c r="Z31" s="173">
        <v>380.79999999999995</v>
      </c>
      <c r="AA31" s="175"/>
      <c r="AB31" s="175">
        <v>206.3</v>
      </c>
      <c r="AC31" s="175"/>
      <c r="AD31" s="571">
        <v>174.5</v>
      </c>
    </row>
    <row r="32" spans="1:30" x14ac:dyDescent="0.2">
      <c r="A32" s="137"/>
      <c r="B32" s="707"/>
      <c r="C32" s="138"/>
      <c r="D32" s="138" t="s">
        <v>299</v>
      </c>
      <c r="E32" s="138"/>
      <c r="F32" s="570"/>
      <c r="G32" s="138"/>
      <c r="H32" s="28"/>
      <c r="I32" s="138"/>
      <c r="J32" s="138" t="s">
        <v>299</v>
      </c>
      <c r="K32" s="138"/>
      <c r="L32" s="570"/>
      <c r="M32" s="138"/>
      <c r="N32" s="28"/>
      <c r="O32" s="138"/>
      <c r="P32" s="138" t="s">
        <v>299</v>
      </c>
      <c r="Q32" s="138"/>
      <c r="R32" s="570"/>
      <c r="S32" s="138"/>
      <c r="T32" s="28"/>
      <c r="U32" s="138"/>
      <c r="V32" s="138" t="s">
        <v>299</v>
      </c>
      <c r="W32" s="138"/>
      <c r="X32" s="570"/>
      <c r="Y32" s="138"/>
      <c r="Z32" s="28"/>
      <c r="AA32" s="138"/>
      <c r="AB32" s="138" t="s">
        <v>299</v>
      </c>
      <c r="AC32" s="138"/>
      <c r="AD32" s="138"/>
    </row>
    <row r="33" spans="1:30" x14ac:dyDescent="0.2">
      <c r="A33" s="137" t="s">
        <v>53</v>
      </c>
      <c r="B33" s="700">
        <v>335.59999999999997</v>
      </c>
      <c r="C33" s="138"/>
      <c r="D33" s="138">
        <v>162.90000000000003</v>
      </c>
      <c r="E33" s="138"/>
      <c r="F33" s="138">
        <v>172.7</v>
      </c>
      <c r="G33" s="138"/>
      <c r="H33" s="623">
        <v>372.5</v>
      </c>
      <c r="I33" s="138"/>
      <c r="J33" s="138">
        <v>189.3</v>
      </c>
      <c r="K33" s="138"/>
      <c r="L33" s="138">
        <v>183.2</v>
      </c>
      <c r="M33" s="138"/>
      <c r="N33" s="623">
        <v>368.5</v>
      </c>
      <c r="O33" s="138"/>
      <c r="P33" s="138">
        <v>193</v>
      </c>
      <c r="Q33" s="138"/>
      <c r="R33" s="570">
        <v>175.50635623881098</v>
      </c>
      <c r="S33" s="138"/>
      <c r="T33" s="623">
        <v>356.01627589922799</v>
      </c>
      <c r="U33" s="138"/>
      <c r="V33" s="138">
        <v>177.7</v>
      </c>
      <c r="W33" s="138"/>
      <c r="X33" s="570">
        <v>178.33238651398702</v>
      </c>
      <c r="Y33" s="138"/>
      <c r="Z33" s="623">
        <v>301.60905856249497</v>
      </c>
      <c r="AA33" s="138"/>
      <c r="AB33" s="138">
        <v>156.10000000000002</v>
      </c>
      <c r="AC33" s="138"/>
      <c r="AD33" s="138">
        <v>145.533804595856</v>
      </c>
    </row>
    <row r="34" spans="1:30" x14ac:dyDescent="0.2">
      <c r="A34" s="139"/>
      <c r="B34" s="708"/>
      <c r="C34" s="139"/>
      <c r="D34" s="139" t="s">
        <v>299</v>
      </c>
      <c r="E34" s="139"/>
      <c r="F34" s="647"/>
      <c r="G34" s="139"/>
      <c r="H34" s="30"/>
      <c r="I34" s="139"/>
      <c r="J34" s="139" t="s">
        <v>299</v>
      </c>
      <c r="K34" s="139"/>
      <c r="L34" s="647"/>
      <c r="M34" s="139"/>
      <c r="N34" s="30"/>
      <c r="O34" s="139"/>
      <c r="P34" s="139" t="s">
        <v>299</v>
      </c>
      <c r="Q34" s="139"/>
      <c r="R34" s="647"/>
      <c r="S34" s="139"/>
      <c r="T34" s="30"/>
      <c r="U34" s="139"/>
      <c r="V34" s="139" t="s">
        <v>299</v>
      </c>
      <c r="W34" s="139"/>
      <c r="X34" s="647"/>
      <c r="Y34" s="139"/>
      <c r="Z34" s="30"/>
      <c r="AA34" s="139"/>
      <c r="AB34" s="139" t="s">
        <v>299</v>
      </c>
      <c r="AC34" s="139"/>
      <c r="AD34" s="139"/>
    </row>
    <row r="35" spans="1:30" x14ac:dyDescent="0.2">
      <c r="A35" s="139" t="s">
        <v>42</v>
      </c>
      <c r="B35" s="705"/>
      <c r="C35" s="140"/>
      <c r="D35" s="140"/>
      <c r="E35" s="140"/>
      <c r="F35" s="665"/>
      <c r="G35" s="140"/>
      <c r="H35" s="29"/>
      <c r="I35" s="140"/>
      <c r="J35" s="140"/>
      <c r="K35" s="140"/>
      <c r="L35" s="665"/>
      <c r="M35" s="140"/>
      <c r="N35" s="29"/>
      <c r="O35" s="140"/>
      <c r="P35" s="140"/>
      <c r="Q35" s="140"/>
      <c r="R35" s="665"/>
      <c r="S35" s="140"/>
      <c r="T35" s="29"/>
      <c r="U35" s="140"/>
      <c r="V35" s="140"/>
      <c r="W35" s="140"/>
      <c r="X35" s="140"/>
      <c r="Y35" s="140"/>
      <c r="Z35" s="29"/>
      <c r="AA35" s="140"/>
      <c r="AB35" s="140"/>
      <c r="AC35" s="140"/>
      <c r="AD35" s="140"/>
    </row>
    <row r="36" spans="1:30" x14ac:dyDescent="0.2">
      <c r="A36" s="137" t="s">
        <v>54</v>
      </c>
      <c r="B36" s="700">
        <v>30</v>
      </c>
      <c r="C36" s="137"/>
      <c r="D36" s="138">
        <v>11.399999999999999</v>
      </c>
      <c r="E36" s="137"/>
      <c r="F36" s="570">
        <v>18.600000000000001</v>
      </c>
      <c r="G36" s="137"/>
      <c r="H36" s="623">
        <v>52.9</v>
      </c>
      <c r="I36" s="137"/>
      <c r="J36" s="138">
        <v>33.099999999999994</v>
      </c>
      <c r="K36" s="137"/>
      <c r="L36" s="570">
        <v>19.8</v>
      </c>
      <c r="M36" s="137"/>
      <c r="N36" s="623">
        <v>18.463360045598506</v>
      </c>
      <c r="O36" s="137"/>
      <c r="P36" s="138">
        <v>16.600000000000001</v>
      </c>
      <c r="Q36" s="137"/>
      <c r="R36" s="570">
        <v>1.8741391680417896</v>
      </c>
      <c r="S36" s="137"/>
      <c r="T36" s="623">
        <v>10.850796580011165</v>
      </c>
      <c r="U36" s="137"/>
      <c r="V36" s="138">
        <v>6.9</v>
      </c>
      <c r="W36" s="137"/>
      <c r="X36" s="138">
        <v>4.0146914981531321</v>
      </c>
      <c r="Y36" s="137"/>
      <c r="Z36" s="623">
        <v>9.4651209305618966</v>
      </c>
      <c r="AA36" s="137"/>
      <c r="AB36" s="138">
        <v>6.9</v>
      </c>
      <c r="AC36" s="137"/>
      <c r="AD36" s="138">
        <v>2.5952564629714092</v>
      </c>
    </row>
    <row r="37" spans="1:30" x14ac:dyDescent="0.2">
      <c r="A37" s="137" t="s">
        <v>55</v>
      </c>
      <c r="B37" s="700">
        <v>28.8</v>
      </c>
      <c r="C37" s="137"/>
      <c r="D37" s="138">
        <v>10.600000000000001</v>
      </c>
      <c r="E37" s="137"/>
      <c r="F37" s="570">
        <v>18.2</v>
      </c>
      <c r="G37" s="137"/>
      <c r="H37" s="623">
        <v>52.2</v>
      </c>
      <c r="I37" s="137"/>
      <c r="J37" s="138">
        <v>32.5</v>
      </c>
      <c r="K37" s="137"/>
      <c r="L37" s="570">
        <v>19.7</v>
      </c>
      <c r="M37" s="137"/>
      <c r="N37" s="623">
        <v>7.676762361401944</v>
      </c>
      <c r="O37" s="137"/>
      <c r="P37" s="138">
        <v>5.8000000000000007</v>
      </c>
      <c r="Q37" s="137"/>
      <c r="R37" s="570">
        <v>1.8708925689340763</v>
      </c>
      <c r="S37" s="137"/>
      <c r="T37" s="623">
        <v>7.1147093409850051</v>
      </c>
      <c r="U37" s="137"/>
      <c r="V37" s="138">
        <v>3.0999999999999996</v>
      </c>
      <c r="W37" s="137"/>
      <c r="X37" s="138">
        <v>4.0146914981531321</v>
      </c>
      <c r="Y37" s="137"/>
      <c r="Z37" s="623">
        <v>9.4651209305618966</v>
      </c>
      <c r="AA37" s="137"/>
      <c r="AB37" s="138">
        <v>6.9</v>
      </c>
      <c r="AC37" s="137"/>
      <c r="AD37" s="138">
        <v>2.5952564629714092</v>
      </c>
    </row>
    <row r="38" spans="1:30" x14ac:dyDescent="0.2">
      <c r="A38" s="137" t="s">
        <v>40</v>
      </c>
      <c r="B38" s="700">
        <v>15</v>
      </c>
      <c r="C38" s="137"/>
      <c r="D38" s="719">
        <v>5</v>
      </c>
      <c r="E38" s="678"/>
      <c r="F38" s="694">
        <v>10</v>
      </c>
      <c r="G38" s="137"/>
      <c r="H38" s="677">
        <v>27</v>
      </c>
      <c r="I38" s="137"/>
      <c r="J38" s="682">
        <v>17</v>
      </c>
      <c r="K38" s="678"/>
      <c r="L38" s="679">
        <v>10</v>
      </c>
      <c r="M38" s="137"/>
      <c r="N38" s="677">
        <v>9.3000000000000007</v>
      </c>
      <c r="O38" s="678"/>
      <c r="P38" s="679">
        <v>8.3000000000000007</v>
      </c>
      <c r="Q38" s="678"/>
      <c r="R38" s="675">
        <v>1</v>
      </c>
      <c r="S38" s="137"/>
      <c r="T38" s="623">
        <v>0</v>
      </c>
      <c r="U38" s="137"/>
      <c r="V38" s="570">
        <v>0</v>
      </c>
      <c r="W38" s="137"/>
      <c r="X38" s="570">
        <v>0</v>
      </c>
      <c r="Y38" s="137"/>
      <c r="Z38" s="623">
        <v>4.7</v>
      </c>
      <c r="AA38" s="137"/>
      <c r="AB38" s="570">
        <v>3.4000000000000004</v>
      </c>
      <c r="AC38" s="137"/>
      <c r="AD38" s="570">
        <v>1.3</v>
      </c>
    </row>
    <row r="39" spans="1:30" x14ac:dyDescent="0.2">
      <c r="A39" s="137" t="s">
        <v>41</v>
      </c>
      <c r="B39" s="718">
        <v>0.4</v>
      </c>
      <c r="C39" s="137"/>
      <c r="D39" s="719">
        <v>0</v>
      </c>
      <c r="E39" s="678"/>
      <c r="F39" s="695">
        <v>0.6</v>
      </c>
      <c r="G39" s="137"/>
      <c r="H39" s="680">
        <v>1</v>
      </c>
      <c r="I39" s="137"/>
      <c r="J39" s="683">
        <v>1</v>
      </c>
      <c r="K39" s="678"/>
      <c r="L39" s="676">
        <v>1</v>
      </c>
      <c r="M39" s="137"/>
      <c r="N39" s="680">
        <v>0.24</v>
      </c>
      <c r="O39" s="678"/>
      <c r="P39" s="676">
        <v>0.14000000000000001</v>
      </c>
      <c r="Q39" s="678"/>
      <c r="R39" s="676">
        <v>1</v>
      </c>
      <c r="S39" s="137"/>
      <c r="T39" s="623">
        <v>0</v>
      </c>
      <c r="U39" s="137"/>
      <c r="V39" s="570">
        <v>0</v>
      </c>
      <c r="W39" s="137"/>
      <c r="X39" s="570">
        <v>0</v>
      </c>
      <c r="Y39" s="137"/>
      <c r="Z39" s="629">
        <v>0.21702127659574469</v>
      </c>
      <c r="AA39" s="137"/>
      <c r="AB39" s="619">
        <v>0.3</v>
      </c>
      <c r="AC39" s="137"/>
      <c r="AD39" s="619">
        <v>0</v>
      </c>
    </row>
    <row r="40" spans="1:30" x14ac:dyDescent="0.2">
      <c r="A40" s="137" t="s">
        <v>56</v>
      </c>
      <c r="B40" s="700">
        <v>9.9</v>
      </c>
      <c r="C40" s="137"/>
      <c r="D40" s="138">
        <v>9.9</v>
      </c>
      <c r="E40" s="137"/>
      <c r="F40" s="138">
        <v>16.399999999999999</v>
      </c>
      <c r="G40" s="137"/>
      <c r="H40" s="623">
        <v>20.3</v>
      </c>
      <c r="I40" s="137"/>
      <c r="J40" s="138">
        <v>20.3</v>
      </c>
      <c r="K40" s="137"/>
      <c r="L40" s="138">
        <v>18.100000000000001</v>
      </c>
      <c r="M40" s="137"/>
      <c r="N40" s="623">
        <v>9.6999999999999993</v>
      </c>
      <c r="O40" s="137"/>
      <c r="P40" s="138">
        <v>9.6999999999999993</v>
      </c>
      <c r="Q40" s="137"/>
      <c r="R40" s="675">
        <v>6</v>
      </c>
      <c r="S40" s="137"/>
      <c r="T40" s="623">
        <v>6.1</v>
      </c>
      <c r="U40" s="137"/>
      <c r="V40" s="138">
        <v>6.1</v>
      </c>
      <c r="W40" s="137"/>
      <c r="X40" s="138">
        <v>5</v>
      </c>
      <c r="Y40" s="137"/>
      <c r="Z40" s="623">
        <v>4.5999999999999996</v>
      </c>
      <c r="AA40" s="137"/>
      <c r="AB40" s="138">
        <v>4.5999999999999996</v>
      </c>
      <c r="AC40" s="137"/>
      <c r="AD40" s="570">
        <v>5.8</v>
      </c>
    </row>
    <row r="41" spans="1:30" x14ac:dyDescent="0.2">
      <c r="A41" s="137" t="s">
        <v>3100</v>
      </c>
      <c r="B41" s="709">
        <v>7.4999999999999997E-2</v>
      </c>
      <c r="C41" s="685"/>
      <c r="D41" s="686">
        <v>7.4999999999999997E-2</v>
      </c>
      <c r="E41" s="687"/>
      <c r="F41" s="686">
        <v>0.128</v>
      </c>
      <c r="G41" s="137"/>
      <c r="H41" s="684">
        <v>0.1383021423912498</v>
      </c>
      <c r="I41" s="685"/>
      <c r="J41" s="686">
        <v>0.1383021423912498</v>
      </c>
      <c r="K41" s="687"/>
      <c r="L41" s="688">
        <v>0.10137506547930852</v>
      </c>
      <c r="M41" s="137"/>
      <c r="N41" s="684">
        <v>5.8174553104007862E-2</v>
      </c>
      <c r="O41" s="678"/>
      <c r="P41" s="688">
        <v>5.8174553104007862E-2</v>
      </c>
      <c r="Q41" s="687"/>
      <c r="R41" s="688">
        <v>3.2339089481946623E-2</v>
      </c>
      <c r="S41" s="137"/>
      <c r="T41" s="684">
        <v>3.6465080484832942E-2</v>
      </c>
      <c r="U41" s="687"/>
      <c r="V41" s="688">
        <v>3.6465080484832942E-2</v>
      </c>
      <c r="W41" s="687"/>
      <c r="X41" s="688">
        <v>3.7339377740640618E-2</v>
      </c>
      <c r="Y41" s="137"/>
      <c r="Z41" s="689">
        <v>3.3011569282658353E-2</v>
      </c>
      <c r="AA41" s="685"/>
      <c r="AB41" s="690">
        <v>3.3011569282658353E-2</v>
      </c>
      <c r="AC41" s="685"/>
      <c r="AD41" s="690">
        <v>4.2940814540952776E-2</v>
      </c>
    </row>
    <row r="42" spans="1:30" x14ac:dyDescent="0.2">
      <c r="A42" s="137" t="s">
        <v>3101</v>
      </c>
      <c r="B42" s="709">
        <v>0.113</v>
      </c>
      <c r="C42" s="685"/>
      <c r="D42" s="686">
        <v>0.113</v>
      </c>
      <c r="E42" s="687"/>
      <c r="F42" s="686">
        <v>0.192</v>
      </c>
      <c r="G42" s="137"/>
      <c r="H42" s="684">
        <v>0.20884836029093187</v>
      </c>
      <c r="I42" s="685"/>
      <c r="J42" s="686">
        <v>0.20884836029093187</v>
      </c>
      <c r="K42" s="687"/>
      <c r="L42" s="688">
        <v>0.15359422161657835</v>
      </c>
      <c r="M42" s="137"/>
      <c r="N42" s="684">
        <v>8.8359570816841454E-2</v>
      </c>
      <c r="O42" s="678"/>
      <c r="P42" s="688">
        <v>8.8359570816841454E-2</v>
      </c>
      <c r="Q42" s="687"/>
      <c r="R42" s="688">
        <v>4.9408667201677053E-2</v>
      </c>
      <c r="S42" s="137"/>
      <c r="T42" s="684">
        <v>5.5933106112907159E-2</v>
      </c>
      <c r="U42" s="687"/>
      <c r="V42" s="688">
        <v>5.5933106112907159E-2</v>
      </c>
      <c r="W42" s="687"/>
      <c r="X42" s="688">
        <v>5.7457167340794257E-2</v>
      </c>
      <c r="Y42" s="137"/>
      <c r="Z42" s="689">
        <v>5.0994287886960706E-2</v>
      </c>
      <c r="AA42" s="685"/>
      <c r="AB42" s="690">
        <v>5.0994287886960706E-2</v>
      </c>
      <c r="AC42" s="685"/>
      <c r="AD42" s="690">
        <v>6.6895399998164809E-2</v>
      </c>
    </row>
    <row r="43" spans="1:30" x14ac:dyDescent="0.2">
      <c r="A43" s="9"/>
      <c r="B43" s="710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</row>
    <row r="44" spans="1:30" x14ac:dyDescent="0.2">
      <c r="A44" s="9"/>
      <c r="B44" s="710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</row>
    <row r="45" spans="1:30" x14ac:dyDescent="0.2">
      <c r="A45" s="9"/>
      <c r="B45" s="710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</row>
    <row r="46" spans="1:30" x14ac:dyDescent="0.2">
      <c r="A46" s="9"/>
      <c r="B46" s="710"/>
      <c r="C46" s="135"/>
      <c r="E46" s="674"/>
      <c r="F46" s="674"/>
      <c r="G46" s="135"/>
      <c r="H46" s="135"/>
      <c r="I46" s="135"/>
      <c r="K46" s="674"/>
      <c r="L46" s="674"/>
      <c r="M46" s="135"/>
      <c r="N46" s="135"/>
      <c r="O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</row>
    <row r="47" spans="1:30" x14ac:dyDescent="0.2">
      <c r="A47" s="9"/>
      <c r="B47" s="710"/>
      <c r="C47" s="135"/>
      <c r="D47" s="674"/>
      <c r="E47" s="674"/>
      <c r="F47" s="674"/>
      <c r="G47" s="135"/>
      <c r="H47" s="135"/>
      <c r="I47" s="135"/>
      <c r="J47" s="674"/>
      <c r="K47" s="674"/>
      <c r="L47" s="674"/>
      <c r="M47" s="135"/>
      <c r="N47" s="135"/>
      <c r="O47" s="135"/>
      <c r="P47" s="674"/>
      <c r="Q47" s="674"/>
      <c r="R47" s="674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</row>
    <row r="48" spans="1:30" x14ac:dyDescent="0.2">
      <c r="A48" s="674"/>
      <c r="B48" s="710"/>
      <c r="C48" s="135"/>
      <c r="D48" s="674"/>
      <c r="E48" s="674"/>
      <c r="F48" s="674"/>
      <c r="G48" s="135"/>
      <c r="H48" s="135"/>
      <c r="I48" s="135"/>
      <c r="J48" s="674"/>
      <c r="K48" s="674"/>
      <c r="L48" s="674"/>
      <c r="M48" s="135"/>
      <c r="N48" s="135"/>
      <c r="O48" s="135"/>
      <c r="P48" s="674"/>
      <c r="Q48" s="674"/>
      <c r="R48" s="674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</row>
    <row r="49" spans="1:30" x14ac:dyDescent="0.2">
      <c r="A49" s="9"/>
      <c r="B49" s="710"/>
      <c r="C49" s="135"/>
      <c r="D49" s="673"/>
      <c r="E49" s="135"/>
      <c r="F49" s="673"/>
      <c r="G49" s="135"/>
      <c r="H49" s="135"/>
      <c r="I49" s="135"/>
      <c r="J49" s="673"/>
      <c r="K49" s="135"/>
      <c r="L49" s="673"/>
      <c r="M49" s="135"/>
      <c r="N49" s="135"/>
      <c r="O49" s="135"/>
      <c r="P49" s="673"/>
      <c r="Q49" s="135"/>
      <c r="R49" s="673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</row>
    <row r="50" spans="1:30" x14ac:dyDescent="0.2">
      <c r="A50" s="9"/>
      <c r="B50" s="710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</row>
    <row r="51" spans="1:30" x14ac:dyDescent="0.2">
      <c r="A51" s="9"/>
      <c r="B51" s="710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</row>
    <row r="52" spans="1:30" x14ac:dyDescent="0.2">
      <c r="A52" s="9"/>
      <c r="B52" s="710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</row>
    <row r="53" spans="1:30" x14ac:dyDescent="0.2">
      <c r="A53" s="9"/>
      <c r="B53" s="710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</row>
    <row r="54" spans="1:30" x14ac:dyDescent="0.2">
      <c r="A54" s="9"/>
      <c r="B54" s="710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</row>
    <row r="55" spans="1:30" x14ac:dyDescent="0.2">
      <c r="A55" s="9"/>
      <c r="B55" s="710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</row>
    <row r="56" spans="1:30" x14ac:dyDescent="0.2">
      <c r="A56" s="9"/>
      <c r="B56" s="710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</row>
    <row r="57" spans="1:30" x14ac:dyDescent="0.2">
      <c r="A57" s="9"/>
      <c r="B57" s="710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</row>
    <row r="58" spans="1:30" x14ac:dyDescent="0.2">
      <c r="A58" s="9"/>
      <c r="B58" s="710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</row>
    <row r="59" spans="1:30" x14ac:dyDescent="0.2">
      <c r="A59" s="9"/>
      <c r="B59" s="710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</row>
    <row r="60" spans="1:30" x14ac:dyDescent="0.2">
      <c r="A60" s="9"/>
      <c r="B60" s="710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</row>
    <row r="61" spans="1:30" x14ac:dyDescent="0.2">
      <c r="A61" s="9"/>
      <c r="B61" s="710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</row>
    <row r="62" spans="1:30" x14ac:dyDescent="0.2">
      <c r="A62" s="9"/>
      <c r="B62" s="710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</row>
    <row r="63" spans="1:30" x14ac:dyDescent="0.2">
      <c r="A63" s="9"/>
      <c r="B63" s="710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</row>
    <row r="64" spans="1:30" x14ac:dyDescent="0.2">
      <c r="A64" s="9"/>
      <c r="B64" s="710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</row>
    <row r="65" spans="1:30" x14ac:dyDescent="0.2">
      <c r="A65" s="9"/>
      <c r="B65" s="710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</row>
    <row r="66" spans="1:30" x14ac:dyDescent="0.2">
      <c r="A66" s="9"/>
      <c r="B66" s="710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</row>
    <row r="67" spans="1:30" x14ac:dyDescent="0.2">
      <c r="A67" s="9"/>
      <c r="B67" s="710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</row>
    <row r="68" spans="1:30" x14ac:dyDescent="0.2">
      <c r="A68" s="9"/>
      <c r="B68" s="710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</row>
    <row r="69" spans="1:30" x14ac:dyDescent="0.2">
      <c r="A69" s="9"/>
      <c r="B69" s="710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</row>
    <row r="70" spans="1:30" x14ac:dyDescent="0.2">
      <c r="A70" s="9"/>
      <c r="B70" s="710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</row>
    <row r="71" spans="1:30" x14ac:dyDescent="0.2">
      <c r="A71" s="9"/>
      <c r="B71" s="710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</row>
    <row r="72" spans="1:30" x14ac:dyDescent="0.2">
      <c r="A72" s="9"/>
      <c r="B72" s="710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</row>
    <row r="73" spans="1:30" x14ac:dyDescent="0.2">
      <c r="A73" s="9"/>
      <c r="B73" s="710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</row>
    <row r="74" spans="1:30" x14ac:dyDescent="0.2">
      <c r="A74" s="9"/>
      <c r="B74" s="710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</row>
    <row r="75" spans="1:30" x14ac:dyDescent="0.2">
      <c r="A75" s="9"/>
      <c r="B75" s="710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</row>
    <row r="76" spans="1:30" x14ac:dyDescent="0.2">
      <c r="A76" s="9"/>
      <c r="B76" s="710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</row>
    <row r="77" spans="1:30" x14ac:dyDescent="0.2">
      <c r="A77" s="9"/>
      <c r="B77" s="710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</row>
    <row r="78" spans="1:30" x14ac:dyDescent="0.2">
      <c r="A78" s="9"/>
      <c r="B78" s="710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</row>
    <row r="79" spans="1:30" x14ac:dyDescent="0.2">
      <c r="A79" s="9"/>
      <c r="B79" s="710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</row>
    <row r="80" spans="1:30" x14ac:dyDescent="0.2">
      <c r="A80" s="9"/>
      <c r="B80" s="710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</row>
    <row r="81" spans="1:30" x14ac:dyDescent="0.2">
      <c r="A81" s="9"/>
      <c r="B81" s="710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</row>
    <row r="82" spans="1:30" x14ac:dyDescent="0.2">
      <c r="A82" s="9"/>
      <c r="B82" s="710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</row>
    <row r="83" spans="1:30" x14ac:dyDescent="0.2">
      <c r="A83" s="9"/>
      <c r="B83" s="710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</row>
    <row r="84" spans="1:30" x14ac:dyDescent="0.2">
      <c r="A84" s="9"/>
      <c r="B84" s="710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</row>
    <row r="85" spans="1:30" x14ac:dyDescent="0.2">
      <c r="A85" s="9"/>
      <c r="B85" s="710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</row>
    <row r="86" spans="1:30" x14ac:dyDescent="0.2">
      <c r="A86" s="9"/>
      <c r="B86" s="710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</row>
    <row r="87" spans="1:30" x14ac:dyDescent="0.2">
      <c r="A87" s="9"/>
      <c r="B87" s="710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</row>
    <row r="88" spans="1:30" x14ac:dyDescent="0.2">
      <c r="A88" s="9"/>
      <c r="B88" s="710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</row>
    <row r="89" spans="1:30" x14ac:dyDescent="0.2">
      <c r="A89" s="9"/>
      <c r="B89" s="710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</row>
    <row r="90" spans="1:30" x14ac:dyDescent="0.2">
      <c r="A90" s="9"/>
      <c r="B90" s="710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</row>
    <row r="91" spans="1:30" x14ac:dyDescent="0.2">
      <c r="A91" s="9"/>
      <c r="B91" s="710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</row>
    <row r="92" spans="1:30" x14ac:dyDescent="0.2">
      <c r="A92" s="9"/>
      <c r="B92" s="710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</row>
    <row r="93" spans="1:30" x14ac:dyDescent="0.2">
      <c r="A93" s="9"/>
      <c r="B93" s="710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</row>
    <row r="94" spans="1:30" x14ac:dyDescent="0.2">
      <c r="A94" s="9"/>
      <c r="B94" s="710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</row>
    <row r="95" spans="1:30" x14ac:dyDescent="0.2">
      <c r="A95" s="9"/>
      <c r="B95" s="710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</row>
    <row r="96" spans="1:30" x14ac:dyDescent="0.2">
      <c r="A96" s="9"/>
      <c r="B96" s="710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</row>
    <row r="97" spans="1:30" x14ac:dyDescent="0.2">
      <c r="A97" s="9"/>
      <c r="B97" s="710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</row>
    <row r="98" spans="1:30" x14ac:dyDescent="0.2">
      <c r="A98" s="9"/>
      <c r="B98" s="710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</row>
    <row r="99" spans="1:30" x14ac:dyDescent="0.2">
      <c r="A99" s="9"/>
      <c r="B99" s="710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</row>
    <row r="100" spans="1:30" x14ac:dyDescent="0.2">
      <c r="A100" s="9"/>
      <c r="B100" s="710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</row>
    <row r="101" spans="1:30" x14ac:dyDescent="0.2">
      <c r="A101" s="9"/>
      <c r="B101" s="710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</row>
    <row r="102" spans="1:30" x14ac:dyDescent="0.2">
      <c r="A102" s="9"/>
      <c r="B102" s="710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</row>
    <row r="103" spans="1:30" x14ac:dyDescent="0.2">
      <c r="A103" s="9"/>
      <c r="B103" s="710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</row>
    <row r="104" spans="1:30" x14ac:dyDescent="0.2">
      <c r="A104" s="9"/>
      <c r="B104" s="710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</row>
    <row r="105" spans="1:30" x14ac:dyDescent="0.2">
      <c r="A105" s="9"/>
      <c r="B105" s="710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</row>
    <row r="106" spans="1:30" x14ac:dyDescent="0.2">
      <c r="A106" s="9"/>
      <c r="B106" s="710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</row>
    <row r="107" spans="1:30" x14ac:dyDescent="0.2">
      <c r="A107" s="9"/>
      <c r="B107" s="710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</row>
    <row r="108" spans="1:30" x14ac:dyDescent="0.2">
      <c r="A108" s="9"/>
      <c r="B108" s="710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</row>
    <row r="109" spans="1:30" x14ac:dyDescent="0.2">
      <c r="A109" s="9"/>
      <c r="B109" s="710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</row>
    <row r="110" spans="1:30" x14ac:dyDescent="0.2">
      <c r="A110" s="9"/>
      <c r="B110" s="710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</row>
    <row r="111" spans="1:30" x14ac:dyDescent="0.2">
      <c r="A111" s="9"/>
      <c r="B111" s="710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</row>
    <row r="112" spans="1:30" x14ac:dyDescent="0.2">
      <c r="A112" s="9"/>
      <c r="B112" s="710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</row>
    <row r="113" spans="1:30" x14ac:dyDescent="0.2">
      <c r="A113" s="9"/>
      <c r="B113" s="710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</row>
    <row r="114" spans="1:30" x14ac:dyDescent="0.2">
      <c r="A114" s="9"/>
      <c r="B114" s="710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</row>
    <row r="115" spans="1:30" x14ac:dyDescent="0.2">
      <c r="A115" s="9"/>
      <c r="B115" s="710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</row>
    <row r="116" spans="1:30" x14ac:dyDescent="0.2">
      <c r="A116" s="9"/>
      <c r="B116" s="710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</row>
    <row r="117" spans="1:30" x14ac:dyDescent="0.2">
      <c r="A117" s="9"/>
      <c r="B117" s="710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</row>
    <row r="118" spans="1:30" x14ac:dyDescent="0.2">
      <c r="A118" s="9"/>
      <c r="B118" s="710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</row>
    <row r="119" spans="1:30" x14ac:dyDescent="0.2">
      <c r="A119" s="9"/>
      <c r="B119" s="710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</row>
    <row r="120" spans="1:30" x14ac:dyDescent="0.2">
      <c r="A120" s="9"/>
      <c r="B120" s="710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</row>
    <row r="121" spans="1:30" x14ac:dyDescent="0.2">
      <c r="A121" s="9"/>
      <c r="B121" s="710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</row>
    <row r="122" spans="1:30" x14ac:dyDescent="0.2">
      <c r="A122" s="9"/>
      <c r="B122" s="710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</row>
    <row r="123" spans="1:30" x14ac:dyDescent="0.2">
      <c r="A123" s="9"/>
      <c r="B123" s="710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</row>
    <row r="124" spans="1:30" x14ac:dyDescent="0.2">
      <c r="A124" s="9"/>
      <c r="B124" s="710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</row>
    <row r="125" spans="1:30" x14ac:dyDescent="0.2">
      <c r="A125" s="9"/>
      <c r="B125" s="710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</row>
    <row r="126" spans="1:30" x14ac:dyDescent="0.2">
      <c r="A126" s="9"/>
      <c r="B126" s="710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</row>
    <row r="127" spans="1:30" x14ac:dyDescent="0.2">
      <c r="A127" s="9"/>
      <c r="B127" s="710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</row>
    <row r="128" spans="1:30" x14ac:dyDescent="0.2">
      <c r="A128" s="9"/>
      <c r="B128" s="710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</row>
    <row r="129" spans="1:30" x14ac:dyDescent="0.2">
      <c r="A129" s="9"/>
      <c r="B129" s="710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</row>
    <row r="130" spans="1:30" x14ac:dyDescent="0.2">
      <c r="A130" s="9"/>
      <c r="B130" s="710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</row>
    <row r="131" spans="1:30" x14ac:dyDescent="0.2">
      <c r="A131" s="9"/>
      <c r="B131" s="710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</row>
    <row r="132" spans="1:30" x14ac:dyDescent="0.2">
      <c r="A132" s="9"/>
      <c r="B132" s="710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</row>
    <row r="133" spans="1:30" x14ac:dyDescent="0.2">
      <c r="A133" s="9"/>
      <c r="B133" s="710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</row>
    <row r="134" spans="1:30" x14ac:dyDescent="0.2">
      <c r="A134" s="9"/>
      <c r="B134" s="710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</row>
    <row r="135" spans="1:30" x14ac:dyDescent="0.2">
      <c r="A135" s="9"/>
      <c r="B135" s="710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</row>
    <row r="136" spans="1:30" x14ac:dyDescent="0.2">
      <c r="A136" s="9"/>
      <c r="B136" s="710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</row>
    <row r="137" spans="1:30" x14ac:dyDescent="0.2">
      <c r="A137" s="9"/>
      <c r="B137" s="710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</row>
    <row r="138" spans="1:30" x14ac:dyDescent="0.2">
      <c r="A138" s="9"/>
      <c r="B138" s="710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</row>
    <row r="139" spans="1:30" x14ac:dyDescent="0.2">
      <c r="A139" s="9"/>
      <c r="B139" s="710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</row>
    <row r="140" spans="1:30" x14ac:dyDescent="0.2">
      <c r="A140" s="9"/>
      <c r="B140" s="710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</row>
    <row r="141" spans="1:30" x14ac:dyDescent="0.2">
      <c r="A141" s="9"/>
      <c r="B141" s="710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</row>
    <row r="142" spans="1:30" x14ac:dyDescent="0.2">
      <c r="A142" s="9"/>
      <c r="B142" s="710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</row>
    <row r="143" spans="1:30" x14ac:dyDescent="0.2">
      <c r="A143" s="9"/>
      <c r="B143" s="710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</row>
    <row r="144" spans="1:30" x14ac:dyDescent="0.2">
      <c r="A144" s="9"/>
      <c r="B144" s="710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</row>
    <row r="145" spans="1:30" x14ac:dyDescent="0.2">
      <c r="A145" s="9"/>
      <c r="B145" s="710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</row>
    <row r="146" spans="1:30" x14ac:dyDescent="0.2">
      <c r="A146" s="9"/>
      <c r="B146" s="710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</row>
    <row r="147" spans="1:30" x14ac:dyDescent="0.2">
      <c r="A147" s="9"/>
      <c r="B147" s="710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</row>
    <row r="148" spans="1:30" x14ac:dyDescent="0.2">
      <c r="A148" s="9"/>
      <c r="B148" s="710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</row>
    <row r="149" spans="1:30" x14ac:dyDescent="0.2">
      <c r="A149" s="9"/>
      <c r="B149" s="710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</row>
    <row r="150" spans="1:30" x14ac:dyDescent="0.2">
      <c r="A150" s="9"/>
      <c r="B150" s="710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</row>
    <row r="151" spans="1:30" x14ac:dyDescent="0.2">
      <c r="A151" s="9"/>
      <c r="B151" s="710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</row>
    <row r="152" spans="1:30" x14ac:dyDescent="0.2">
      <c r="A152" s="9"/>
      <c r="B152" s="710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</row>
    <row r="153" spans="1:30" x14ac:dyDescent="0.2">
      <c r="A153" s="9"/>
      <c r="B153" s="710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</row>
    <row r="154" spans="1:30" x14ac:dyDescent="0.2">
      <c r="A154" s="9"/>
      <c r="B154" s="710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</row>
    <row r="155" spans="1:30" x14ac:dyDescent="0.2">
      <c r="A155" s="9"/>
      <c r="B155" s="710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</row>
    <row r="156" spans="1:30" x14ac:dyDescent="0.2">
      <c r="A156" s="9"/>
      <c r="B156" s="710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</row>
    <row r="157" spans="1:30" x14ac:dyDescent="0.2">
      <c r="A157" s="9"/>
      <c r="B157" s="710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</row>
    <row r="158" spans="1:30" x14ac:dyDescent="0.2">
      <c r="A158" s="9"/>
      <c r="B158" s="710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</row>
    <row r="159" spans="1:30" x14ac:dyDescent="0.2">
      <c r="A159" s="9"/>
      <c r="B159" s="710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</row>
    <row r="160" spans="1:30" x14ac:dyDescent="0.2">
      <c r="A160" s="9"/>
      <c r="B160" s="710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</row>
    <row r="161" spans="1:30" x14ac:dyDescent="0.2">
      <c r="A161" s="9"/>
      <c r="B161" s="710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</row>
    <row r="162" spans="1:30" x14ac:dyDescent="0.2">
      <c r="A162" s="9"/>
      <c r="B162" s="710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</row>
    <row r="163" spans="1:30" x14ac:dyDescent="0.2">
      <c r="A163" s="9"/>
      <c r="B163" s="710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</row>
    <row r="164" spans="1:30" x14ac:dyDescent="0.2">
      <c r="A164" s="9"/>
      <c r="B164" s="710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</row>
    <row r="165" spans="1:30" x14ac:dyDescent="0.2">
      <c r="A165" s="9"/>
      <c r="B165" s="710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</row>
    <row r="166" spans="1:30" x14ac:dyDescent="0.2">
      <c r="A166" s="9"/>
      <c r="B166" s="710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</row>
    <row r="167" spans="1:30" x14ac:dyDescent="0.2">
      <c r="A167" s="9"/>
      <c r="B167" s="710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</row>
    <row r="168" spans="1:30" x14ac:dyDescent="0.2">
      <c r="A168" s="9"/>
      <c r="B168" s="710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</row>
    <row r="169" spans="1:30" x14ac:dyDescent="0.2">
      <c r="A169" s="9"/>
      <c r="B169" s="710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</row>
    <row r="170" spans="1:30" x14ac:dyDescent="0.2">
      <c r="A170" s="9"/>
      <c r="B170" s="710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</row>
    <row r="171" spans="1:30" x14ac:dyDescent="0.2">
      <c r="A171" s="9"/>
      <c r="B171" s="710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</row>
    <row r="172" spans="1:30" x14ac:dyDescent="0.2">
      <c r="A172" s="9"/>
      <c r="B172" s="710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</row>
    <row r="173" spans="1:30" x14ac:dyDescent="0.2">
      <c r="A173" s="9"/>
      <c r="B173" s="710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</row>
    <row r="174" spans="1:30" x14ac:dyDescent="0.2">
      <c r="A174" s="9"/>
      <c r="B174" s="710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</row>
    <row r="175" spans="1:30" x14ac:dyDescent="0.2">
      <c r="A175" s="9"/>
      <c r="B175" s="710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</row>
    <row r="176" spans="1:30" x14ac:dyDescent="0.2">
      <c r="A176" s="9"/>
      <c r="B176" s="710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</row>
    <row r="177" spans="1:30" x14ac:dyDescent="0.2">
      <c r="A177" s="9"/>
      <c r="B177" s="710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</row>
    <row r="178" spans="1:30" x14ac:dyDescent="0.2">
      <c r="A178" s="9"/>
      <c r="B178" s="710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</row>
    <row r="179" spans="1:30" x14ac:dyDescent="0.2">
      <c r="A179" s="9"/>
      <c r="B179" s="710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</row>
    <row r="180" spans="1:30" x14ac:dyDescent="0.2">
      <c r="A180" s="9"/>
      <c r="B180" s="710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</row>
    <row r="181" spans="1:30" x14ac:dyDescent="0.2">
      <c r="A181" s="9"/>
      <c r="B181" s="710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</row>
    <row r="182" spans="1:30" x14ac:dyDescent="0.2">
      <c r="A182" s="9"/>
      <c r="B182" s="710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</row>
    <row r="183" spans="1:30" x14ac:dyDescent="0.2">
      <c r="A183" s="9"/>
      <c r="B183" s="710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</row>
    <row r="184" spans="1:30" x14ac:dyDescent="0.2">
      <c r="A184" s="9"/>
      <c r="B184" s="710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</row>
    <row r="185" spans="1:30" x14ac:dyDescent="0.2">
      <c r="A185" s="9"/>
      <c r="B185" s="710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</row>
    <row r="186" spans="1:30" x14ac:dyDescent="0.2">
      <c r="A186" s="9"/>
      <c r="B186" s="710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</row>
    <row r="187" spans="1:30" x14ac:dyDescent="0.2">
      <c r="A187" s="9"/>
      <c r="B187" s="710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</row>
    <row r="188" spans="1:30" x14ac:dyDescent="0.2">
      <c r="A188" s="9"/>
      <c r="B188" s="710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</row>
    <row r="189" spans="1:30" x14ac:dyDescent="0.2">
      <c r="A189" s="9"/>
      <c r="B189" s="710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</row>
    <row r="190" spans="1:30" x14ac:dyDescent="0.2">
      <c r="A190" s="9"/>
      <c r="B190" s="710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</row>
    <row r="191" spans="1:30" x14ac:dyDescent="0.2">
      <c r="A191" s="9"/>
      <c r="B191" s="710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</row>
    <row r="192" spans="1:30" x14ac:dyDescent="0.2">
      <c r="A192" s="9"/>
      <c r="B192" s="710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</row>
    <row r="193" spans="1:30" x14ac:dyDescent="0.2">
      <c r="A193" s="9"/>
      <c r="B193" s="710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</row>
    <row r="194" spans="1:30" x14ac:dyDescent="0.2">
      <c r="A194" s="9"/>
      <c r="B194" s="710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</row>
    <row r="195" spans="1:30" x14ac:dyDescent="0.2">
      <c r="A195" s="9"/>
      <c r="B195" s="710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</row>
    <row r="196" spans="1:30" x14ac:dyDescent="0.2">
      <c r="A196" s="9"/>
      <c r="B196" s="710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</row>
    <row r="197" spans="1:30" x14ac:dyDescent="0.2">
      <c r="A197" s="9"/>
      <c r="B197" s="710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</row>
    <row r="198" spans="1:30" x14ac:dyDescent="0.2">
      <c r="A198" s="9"/>
      <c r="B198" s="710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</row>
    <row r="199" spans="1:30" x14ac:dyDescent="0.2">
      <c r="A199" s="9"/>
      <c r="B199" s="710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</row>
    <row r="200" spans="1:30" x14ac:dyDescent="0.2">
      <c r="A200" s="9"/>
      <c r="B200" s="710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</row>
    <row r="201" spans="1:30" x14ac:dyDescent="0.2">
      <c r="A201" s="9"/>
      <c r="B201" s="710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</row>
    <row r="202" spans="1:30" x14ac:dyDescent="0.2">
      <c r="A202" s="9"/>
      <c r="B202" s="710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</row>
    <row r="203" spans="1:30" x14ac:dyDescent="0.2">
      <c r="A203" s="9"/>
      <c r="B203" s="710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</row>
    <row r="204" spans="1:30" x14ac:dyDescent="0.2">
      <c r="A204" s="9"/>
      <c r="B204" s="710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</row>
    <row r="205" spans="1:30" x14ac:dyDescent="0.2">
      <c r="A205" s="9"/>
      <c r="B205" s="710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</row>
    <row r="206" spans="1:30" x14ac:dyDescent="0.2">
      <c r="A206" s="9"/>
      <c r="B206" s="710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</row>
    <row r="207" spans="1:30" x14ac:dyDescent="0.2">
      <c r="A207" s="9"/>
      <c r="B207" s="710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</row>
    <row r="208" spans="1:30" x14ac:dyDescent="0.2">
      <c r="A208" s="9"/>
      <c r="B208" s="710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</row>
    <row r="209" spans="1:30" x14ac:dyDescent="0.2">
      <c r="A209" s="9"/>
      <c r="B209" s="710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</row>
    <row r="210" spans="1:30" x14ac:dyDescent="0.2">
      <c r="A210" s="9"/>
      <c r="B210" s="710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</row>
    <row r="211" spans="1:30" x14ac:dyDescent="0.2">
      <c r="A211" s="9"/>
      <c r="B211" s="710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</row>
    <row r="212" spans="1:30" x14ac:dyDescent="0.2">
      <c r="A212" s="9"/>
      <c r="B212" s="710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</row>
    <row r="213" spans="1:30" x14ac:dyDescent="0.2">
      <c r="A213" s="9"/>
      <c r="B213" s="710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</row>
    <row r="214" spans="1:30" x14ac:dyDescent="0.2">
      <c r="A214" s="9"/>
      <c r="B214" s="710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</row>
    <row r="215" spans="1:30" x14ac:dyDescent="0.2">
      <c r="A215" s="9"/>
      <c r="B215" s="710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</row>
    <row r="216" spans="1:30" x14ac:dyDescent="0.2">
      <c r="A216" s="9"/>
      <c r="B216" s="710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</row>
    <row r="217" spans="1:30" x14ac:dyDescent="0.2">
      <c r="A217" s="9"/>
      <c r="B217" s="710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</row>
    <row r="218" spans="1:30" x14ac:dyDescent="0.2">
      <c r="A218" s="9"/>
      <c r="B218" s="710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</row>
    <row r="219" spans="1:30" x14ac:dyDescent="0.2">
      <c r="A219" s="9"/>
      <c r="B219" s="710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</row>
    <row r="220" spans="1:30" x14ac:dyDescent="0.2">
      <c r="A220" s="9"/>
      <c r="B220" s="710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</row>
    <row r="221" spans="1:30" x14ac:dyDescent="0.2">
      <c r="A221" s="9"/>
      <c r="B221" s="710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</row>
    <row r="222" spans="1:30" x14ac:dyDescent="0.2">
      <c r="A222" s="9"/>
      <c r="B222" s="710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</row>
    <row r="223" spans="1:30" x14ac:dyDescent="0.2">
      <c r="A223" s="9"/>
      <c r="B223" s="710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</row>
    <row r="224" spans="1:30" x14ac:dyDescent="0.2">
      <c r="A224" s="9"/>
      <c r="B224" s="710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</row>
    <row r="225" spans="1:30" x14ac:dyDescent="0.2">
      <c r="A225" s="9"/>
      <c r="B225" s="710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</row>
    <row r="226" spans="1:30" x14ac:dyDescent="0.2">
      <c r="A226" s="9"/>
      <c r="B226" s="710"/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</row>
    <row r="227" spans="1:30" x14ac:dyDescent="0.2">
      <c r="A227" s="9"/>
      <c r="B227" s="710"/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</row>
    <row r="228" spans="1:30" x14ac:dyDescent="0.2">
      <c r="A228" s="9"/>
      <c r="B228" s="710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</row>
    <row r="229" spans="1:30" x14ac:dyDescent="0.2">
      <c r="A229" s="9"/>
      <c r="B229" s="710"/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</row>
    <row r="230" spans="1:30" x14ac:dyDescent="0.2">
      <c r="A230" s="9"/>
      <c r="B230" s="710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</row>
    <row r="231" spans="1:30" x14ac:dyDescent="0.2">
      <c r="A231" s="9"/>
      <c r="B231" s="710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</row>
    <row r="232" spans="1:30" x14ac:dyDescent="0.2">
      <c r="A232" s="9"/>
      <c r="B232" s="710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</row>
    <row r="233" spans="1:30" x14ac:dyDescent="0.2">
      <c r="A233" s="9"/>
      <c r="B233" s="710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</row>
    <row r="234" spans="1:30" x14ac:dyDescent="0.2">
      <c r="A234" s="9"/>
      <c r="B234" s="710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</row>
    <row r="235" spans="1:30" x14ac:dyDescent="0.2">
      <c r="A235" s="9"/>
      <c r="B235" s="710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</row>
    <row r="236" spans="1:30" x14ac:dyDescent="0.2">
      <c r="A236" s="9"/>
      <c r="B236" s="710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</row>
    <row r="237" spans="1:30" x14ac:dyDescent="0.2">
      <c r="A237" s="9"/>
      <c r="B237" s="710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</row>
    <row r="238" spans="1:30" x14ac:dyDescent="0.2">
      <c r="A238" s="9"/>
      <c r="B238" s="710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</row>
    <row r="239" spans="1:30" x14ac:dyDescent="0.2">
      <c r="A239" s="9"/>
      <c r="B239" s="710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</row>
    <row r="240" spans="1:30" x14ac:dyDescent="0.2">
      <c r="A240" s="9"/>
      <c r="B240" s="710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</row>
  </sheetData>
  <phoneticPr fontId="11" type="noConversion"/>
  <dataValidations count="1">
    <dataValidation allowBlank="1" showErrorMessage="1" sqref="O47:XFD1048576 N1:N38 I46 C1:G45 O46 I47:M1048576 H1:H38 K46:M46 I1:M45 H40:H1048576 O1:XFD45 N40:N1048576 A1:A1048576 C46 C47:G1048576 B1:B38 E46:G46 B40:B1048576 S46:XFD46" xr:uid="{FD2A9916-DBF3-4779-9302-789DD8F4E0A6}"/>
  </dataValidations>
  <pageMargins left="0.25" right="0.25" top="0.75" bottom="0.75" header="0.3" footer="0.3"/>
  <pageSetup paperSize="8" scale="74" orientation="portrait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E40"/>
  <sheetViews>
    <sheetView showGridLines="0" zoomScale="110" zoomScaleNormal="110" zoomScaleSheetLayoutView="100" workbookViewId="0">
      <selection activeCell="A13" sqref="A13"/>
    </sheetView>
  </sheetViews>
  <sheetFormatPr defaultRowHeight="11.25" x14ac:dyDescent="0.2"/>
  <cols>
    <col min="1" max="1" width="64" style="58" customWidth="1"/>
    <col min="2" max="2" width="10" style="40" customWidth="1"/>
    <col min="3" max="3" width="3.7109375" style="40" customWidth="1"/>
    <col min="4" max="4" width="10" style="40" customWidth="1"/>
    <col min="5" max="5" width="1.28515625" style="40" customWidth="1"/>
    <col min="6" max="6" width="10" style="40" customWidth="1"/>
    <col min="7" max="7" width="1" style="40" customWidth="1"/>
    <col min="8" max="8" width="10" style="40" customWidth="1"/>
    <col min="9" max="9" width="3.7109375" style="40" customWidth="1"/>
    <col min="10" max="10" width="10" style="40" customWidth="1"/>
    <col min="11" max="11" width="1.28515625" style="40" customWidth="1"/>
    <col min="12" max="12" width="10" style="40" customWidth="1"/>
    <col min="13" max="13" width="1" style="40" customWidth="1"/>
    <col min="14" max="14" width="10" style="40" customWidth="1"/>
    <col min="15" max="15" width="3.7109375" style="40" customWidth="1"/>
    <col min="16" max="16" width="10" style="40" customWidth="1"/>
    <col min="17" max="17" width="1.28515625" style="40" customWidth="1"/>
    <col min="18" max="18" width="10" style="40" customWidth="1"/>
    <col min="19" max="19" width="1" style="40" customWidth="1"/>
    <col min="20" max="20" width="10" style="40" customWidth="1"/>
    <col min="21" max="21" width="3.7109375" style="40" customWidth="1"/>
    <col min="22" max="22" width="10" style="40" customWidth="1"/>
    <col min="23" max="23" width="1.28515625" style="40" customWidth="1"/>
    <col min="24" max="24" width="10" style="40" customWidth="1"/>
    <col min="25" max="25" width="1" style="40" customWidth="1"/>
    <col min="26" max="26" width="10" style="40" customWidth="1"/>
    <col min="27" max="27" width="3.7109375" style="40" customWidth="1"/>
    <col min="28" max="28" width="10" style="40" customWidth="1"/>
    <col min="29" max="29" width="1.28515625" style="40" customWidth="1"/>
    <col min="30" max="30" width="10" style="40" customWidth="1"/>
    <col min="31" max="31" width="1" style="40" customWidth="1"/>
    <col min="32" max="16384" width="9.140625" style="40"/>
  </cols>
  <sheetData>
    <row r="1" spans="1:31" s="70" customFormat="1" x14ac:dyDescent="0.2">
      <c r="A1" s="565" t="s">
        <v>10</v>
      </c>
      <c r="B1" s="607" t="s">
        <v>3</v>
      </c>
      <c r="C1" s="127"/>
      <c r="D1" s="608" t="s">
        <v>3</v>
      </c>
      <c r="E1" s="609"/>
      <c r="F1" s="608" t="s">
        <v>1</v>
      </c>
      <c r="G1" s="127"/>
      <c r="H1" s="607" t="s">
        <v>3</v>
      </c>
      <c r="I1" s="127"/>
      <c r="J1" s="608" t="s">
        <v>3</v>
      </c>
      <c r="K1" s="609"/>
      <c r="L1" s="608" t="s">
        <v>1</v>
      </c>
      <c r="M1" s="127"/>
      <c r="N1" s="607" t="s">
        <v>3</v>
      </c>
      <c r="O1" s="127"/>
      <c r="P1" s="608" t="s">
        <v>3</v>
      </c>
      <c r="Q1" s="609"/>
      <c r="R1" s="608" t="s">
        <v>1</v>
      </c>
      <c r="S1" s="127"/>
      <c r="T1" s="607" t="s">
        <v>3</v>
      </c>
      <c r="U1" s="127"/>
      <c r="V1" s="608" t="s">
        <v>3</v>
      </c>
      <c r="W1" s="609"/>
      <c r="X1" s="608" t="s">
        <v>1</v>
      </c>
      <c r="Y1" s="127"/>
      <c r="Z1" s="607" t="s">
        <v>3</v>
      </c>
      <c r="AA1" s="127"/>
      <c r="AB1" s="608" t="s">
        <v>3</v>
      </c>
      <c r="AC1" s="609"/>
      <c r="AD1" s="608" t="s">
        <v>1</v>
      </c>
      <c r="AE1" s="127"/>
    </row>
    <row r="2" spans="1:31" s="70" customFormat="1" x14ac:dyDescent="0.2">
      <c r="A2" s="562" t="s">
        <v>149</v>
      </c>
      <c r="B2" s="610">
        <v>2023</v>
      </c>
      <c r="C2" s="128"/>
      <c r="D2" s="611">
        <v>2023</v>
      </c>
      <c r="E2" s="611"/>
      <c r="F2" s="611">
        <v>2023</v>
      </c>
      <c r="G2" s="128"/>
      <c r="H2" s="610">
        <v>2022</v>
      </c>
      <c r="I2" s="128"/>
      <c r="J2" s="611">
        <v>2022</v>
      </c>
      <c r="K2" s="611"/>
      <c r="L2" s="611">
        <v>2022</v>
      </c>
      <c r="M2" s="128"/>
      <c r="N2" s="610">
        <v>2021</v>
      </c>
      <c r="O2" s="128"/>
      <c r="P2" s="611">
        <v>2021</v>
      </c>
      <c r="Q2" s="611"/>
      <c r="R2" s="611">
        <v>2021</v>
      </c>
      <c r="S2" s="128"/>
      <c r="T2" s="610">
        <v>2020</v>
      </c>
      <c r="U2" s="128"/>
      <c r="V2" s="611">
        <v>2020</v>
      </c>
      <c r="W2" s="611"/>
      <c r="X2" s="611">
        <v>2020</v>
      </c>
      <c r="Y2" s="128"/>
      <c r="Z2" s="610">
        <v>2019</v>
      </c>
      <c r="AA2" s="128"/>
      <c r="AB2" s="611">
        <v>2019</v>
      </c>
      <c r="AC2" s="611"/>
      <c r="AD2" s="611">
        <v>2019</v>
      </c>
      <c r="AE2" s="128"/>
    </row>
    <row r="3" spans="1:31" s="70" customFormat="1" x14ac:dyDescent="0.2">
      <c r="A3" s="563"/>
      <c r="B3" s="610" t="s">
        <v>9</v>
      </c>
      <c r="C3" s="128"/>
      <c r="D3" s="611" t="s">
        <v>8</v>
      </c>
      <c r="E3" s="611"/>
      <c r="F3" s="611" t="s">
        <v>8</v>
      </c>
      <c r="G3" s="128"/>
      <c r="H3" s="610" t="s">
        <v>9</v>
      </c>
      <c r="I3" s="128"/>
      <c r="J3" s="611" t="s">
        <v>8</v>
      </c>
      <c r="K3" s="611"/>
      <c r="L3" s="611" t="s">
        <v>8</v>
      </c>
      <c r="M3" s="128"/>
      <c r="N3" s="610" t="s">
        <v>9</v>
      </c>
      <c r="O3" s="128"/>
      <c r="P3" s="611" t="s">
        <v>8</v>
      </c>
      <c r="Q3" s="611"/>
      <c r="R3" s="611" t="s">
        <v>8</v>
      </c>
      <c r="S3" s="128"/>
      <c r="T3" s="610" t="s">
        <v>9</v>
      </c>
      <c r="U3" s="128"/>
      <c r="V3" s="611" t="s">
        <v>8</v>
      </c>
      <c r="W3" s="611"/>
      <c r="X3" s="611" t="s">
        <v>8</v>
      </c>
      <c r="Y3" s="128"/>
      <c r="Z3" s="610" t="s">
        <v>9</v>
      </c>
      <c r="AA3" s="128"/>
      <c r="AB3" s="611" t="s">
        <v>8</v>
      </c>
      <c r="AC3" s="611"/>
      <c r="AD3" s="611" t="s">
        <v>8</v>
      </c>
      <c r="AE3" s="128"/>
    </row>
    <row r="4" spans="1:31" s="70" customFormat="1" x14ac:dyDescent="0.2">
      <c r="A4" s="563"/>
      <c r="B4" s="612" t="s">
        <v>3075</v>
      </c>
      <c r="C4" s="129"/>
      <c r="D4" s="613" t="s">
        <v>3075</v>
      </c>
      <c r="E4" s="613"/>
      <c r="F4" s="613" t="s">
        <v>3075</v>
      </c>
      <c r="G4" s="129"/>
      <c r="H4" s="612" t="s">
        <v>3075</v>
      </c>
      <c r="I4" s="129"/>
      <c r="J4" s="613" t="s">
        <v>3075</v>
      </c>
      <c r="K4" s="613"/>
      <c r="L4" s="613" t="s">
        <v>3075</v>
      </c>
      <c r="M4" s="129"/>
      <c r="N4" s="612" t="s">
        <v>3075</v>
      </c>
      <c r="O4" s="129"/>
      <c r="P4" s="613" t="s">
        <v>3075</v>
      </c>
      <c r="Q4" s="613"/>
      <c r="R4" s="613" t="s">
        <v>3075</v>
      </c>
      <c r="S4" s="129"/>
      <c r="T4" s="612" t="s">
        <v>3075</v>
      </c>
      <c r="U4" s="129"/>
      <c r="V4" s="613" t="s">
        <v>3075</v>
      </c>
      <c r="W4" s="613"/>
      <c r="X4" s="613" t="s">
        <v>3075</v>
      </c>
      <c r="Y4" s="129"/>
      <c r="Z4" s="612" t="s">
        <v>3075</v>
      </c>
      <c r="AA4" s="129"/>
      <c r="AB4" s="613" t="s">
        <v>3075</v>
      </c>
      <c r="AC4" s="613"/>
      <c r="AD4" s="613" t="s">
        <v>3075</v>
      </c>
      <c r="AE4" s="129"/>
    </row>
    <row r="5" spans="1:31" s="70" customFormat="1" x14ac:dyDescent="0.2">
      <c r="A5" s="563"/>
      <c r="B5" s="614" t="s">
        <v>4</v>
      </c>
      <c r="C5" s="130"/>
      <c r="D5" s="615" t="s">
        <v>4</v>
      </c>
      <c r="E5" s="615"/>
      <c r="F5" s="615" t="s">
        <v>4</v>
      </c>
      <c r="G5" s="130"/>
      <c r="H5" s="614" t="s">
        <v>4</v>
      </c>
      <c r="I5" s="130"/>
      <c r="J5" s="615" t="s">
        <v>4</v>
      </c>
      <c r="K5" s="615"/>
      <c r="L5" s="615" t="s">
        <v>4</v>
      </c>
      <c r="M5" s="130"/>
      <c r="N5" s="614" t="s">
        <v>4</v>
      </c>
      <c r="O5" s="130"/>
      <c r="P5" s="615" t="s">
        <v>4</v>
      </c>
      <c r="Q5" s="615"/>
      <c r="R5" s="615" t="s">
        <v>4</v>
      </c>
      <c r="S5" s="130"/>
      <c r="T5" s="614" t="s">
        <v>4</v>
      </c>
      <c r="U5" s="130"/>
      <c r="V5" s="615" t="s">
        <v>4</v>
      </c>
      <c r="W5" s="615"/>
      <c r="X5" s="615" t="s">
        <v>4</v>
      </c>
      <c r="Y5" s="130"/>
      <c r="Z5" s="614" t="s">
        <v>4</v>
      </c>
      <c r="AA5" s="130"/>
      <c r="AB5" s="615" t="s">
        <v>4</v>
      </c>
      <c r="AC5" s="615"/>
      <c r="AD5" s="615" t="s">
        <v>4</v>
      </c>
      <c r="AE5" s="130"/>
    </row>
    <row r="6" spans="1:31" s="70" customFormat="1" x14ac:dyDescent="0.2">
      <c r="A6" s="566"/>
      <c r="B6" s="616" t="s">
        <v>5</v>
      </c>
      <c r="C6" s="617"/>
      <c r="D6" s="618" t="s">
        <v>5</v>
      </c>
      <c r="E6" s="613"/>
      <c r="F6" s="618" t="s">
        <v>5</v>
      </c>
      <c r="G6" s="617"/>
      <c r="H6" s="616" t="s">
        <v>5</v>
      </c>
      <c r="I6" s="617"/>
      <c r="J6" s="618" t="s">
        <v>5</v>
      </c>
      <c r="K6" s="613"/>
      <c r="L6" s="618" t="s">
        <v>5</v>
      </c>
      <c r="M6" s="617"/>
      <c r="N6" s="616" t="s">
        <v>5</v>
      </c>
      <c r="O6" s="617"/>
      <c r="P6" s="618" t="s">
        <v>5</v>
      </c>
      <c r="Q6" s="613"/>
      <c r="R6" s="618" t="s">
        <v>5</v>
      </c>
      <c r="S6" s="617"/>
      <c r="T6" s="616" t="s">
        <v>5</v>
      </c>
      <c r="U6" s="617"/>
      <c r="V6" s="618" t="s">
        <v>5</v>
      </c>
      <c r="W6" s="613"/>
      <c r="X6" s="618" t="s">
        <v>5</v>
      </c>
      <c r="Y6" s="617"/>
      <c r="Z6" s="616" t="s">
        <v>5</v>
      </c>
      <c r="AA6" s="617"/>
      <c r="AB6" s="618" t="s">
        <v>5</v>
      </c>
      <c r="AC6" s="613"/>
      <c r="AD6" s="618" t="s">
        <v>5</v>
      </c>
      <c r="AE6" s="617"/>
    </row>
    <row r="7" spans="1:31" x14ac:dyDescent="0.2">
      <c r="A7" s="60"/>
      <c r="B7" s="131"/>
      <c r="C7" s="36"/>
      <c r="D7" s="538"/>
      <c r="E7" s="538"/>
      <c r="F7" s="538"/>
      <c r="G7" s="36"/>
      <c r="H7" s="131"/>
      <c r="I7" s="36"/>
      <c r="J7" s="538"/>
      <c r="K7" s="538"/>
      <c r="L7" s="538"/>
      <c r="M7" s="36"/>
      <c r="N7" s="131"/>
      <c r="O7" s="36"/>
      <c r="P7" s="538"/>
      <c r="Q7" s="538"/>
      <c r="R7" s="538"/>
      <c r="S7" s="36"/>
      <c r="T7" s="131"/>
      <c r="U7" s="36"/>
      <c r="V7" s="538"/>
      <c r="W7" s="538"/>
      <c r="X7" s="538"/>
      <c r="Y7" s="36"/>
      <c r="Z7" s="131"/>
      <c r="AA7" s="36"/>
      <c r="AB7" s="538"/>
      <c r="AC7" s="538"/>
      <c r="AD7" s="538"/>
      <c r="AE7" s="36"/>
    </row>
    <row r="8" spans="1:31" x14ac:dyDescent="0.2">
      <c r="A8" s="56" t="s">
        <v>140</v>
      </c>
      <c r="B8" s="183"/>
      <c r="C8" s="36"/>
      <c r="D8" s="538"/>
      <c r="E8" s="538"/>
      <c r="F8" s="538"/>
      <c r="G8" s="36"/>
      <c r="H8" s="183"/>
      <c r="I8" s="36"/>
      <c r="J8" s="538"/>
      <c r="K8" s="538"/>
      <c r="L8" s="538"/>
      <c r="M8" s="36"/>
      <c r="N8" s="183"/>
      <c r="O8" s="36"/>
      <c r="P8" s="538"/>
      <c r="Q8" s="538"/>
      <c r="R8" s="538"/>
      <c r="S8" s="36"/>
      <c r="T8" s="183"/>
      <c r="U8" s="36"/>
      <c r="V8" s="538"/>
      <c r="W8" s="538"/>
      <c r="X8" s="538"/>
      <c r="Y8" s="36"/>
      <c r="Z8" s="183"/>
      <c r="AA8" s="36"/>
      <c r="AB8" s="538"/>
      <c r="AC8" s="538"/>
      <c r="AD8" s="538"/>
      <c r="AE8" s="36"/>
    </row>
    <row r="9" spans="1:31" x14ac:dyDescent="0.2">
      <c r="A9" s="60" t="s">
        <v>3077</v>
      </c>
      <c r="B9" s="532">
        <v>1215.4000000000001</v>
      </c>
      <c r="C9" s="132"/>
      <c r="D9" s="525">
        <v>491.10000000000014</v>
      </c>
      <c r="E9" s="525"/>
      <c r="F9" s="525">
        <v>724.3</v>
      </c>
      <c r="G9" s="132"/>
      <c r="H9" s="532">
        <v>1857.7</v>
      </c>
      <c r="I9" s="132"/>
      <c r="J9" s="525">
        <v>1106.3000000000002</v>
      </c>
      <c r="K9" s="525"/>
      <c r="L9" s="525">
        <v>751.40000000000009</v>
      </c>
      <c r="M9" s="132"/>
      <c r="N9" s="532">
        <v>934.9</v>
      </c>
      <c r="O9" s="132"/>
      <c r="P9" s="525">
        <v>649.20000000000005</v>
      </c>
      <c r="Q9" s="525"/>
      <c r="R9" s="567">
        <v>285.68969699505197</v>
      </c>
      <c r="S9" s="132"/>
      <c r="T9" s="532">
        <v>730.507217423459</v>
      </c>
      <c r="U9" s="132"/>
      <c r="V9" s="525">
        <v>393</v>
      </c>
      <c r="W9" s="525"/>
      <c r="X9" s="567">
        <v>337.45631422901499</v>
      </c>
      <c r="Y9" s="132"/>
      <c r="Z9" s="532">
        <v>605.29999999999995</v>
      </c>
      <c r="AA9" s="132"/>
      <c r="AB9" s="525">
        <v>341.09999999999997</v>
      </c>
      <c r="AC9" s="525"/>
      <c r="AD9" s="567">
        <v>264.2</v>
      </c>
      <c r="AE9" s="132"/>
    </row>
    <row r="10" spans="1:31" x14ac:dyDescent="0.2">
      <c r="A10" s="60" t="s">
        <v>141</v>
      </c>
      <c r="B10" s="532">
        <v>-125.4</v>
      </c>
      <c r="C10" s="132"/>
      <c r="D10" s="525">
        <v>-61.7</v>
      </c>
      <c r="E10" s="525"/>
      <c r="F10" s="567">
        <v>-63.7</v>
      </c>
      <c r="G10" s="132"/>
      <c r="H10" s="532">
        <v>-83.4</v>
      </c>
      <c r="I10" s="132"/>
      <c r="J10" s="525">
        <v>-41.2</v>
      </c>
      <c r="K10" s="525"/>
      <c r="L10" s="567">
        <v>-42.2</v>
      </c>
      <c r="M10" s="132"/>
      <c r="N10" s="532">
        <v>-108.65023123</v>
      </c>
      <c r="O10" s="132"/>
      <c r="P10" s="525">
        <v>-46.300000000000004</v>
      </c>
      <c r="Q10" s="525"/>
      <c r="R10" s="567">
        <v>-62.4</v>
      </c>
      <c r="S10" s="132"/>
      <c r="T10" s="532">
        <v>-135.5</v>
      </c>
      <c r="U10" s="132"/>
      <c r="V10" s="525">
        <v>-58.7</v>
      </c>
      <c r="W10" s="525"/>
      <c r="X10" s="567">
        <v>-76.800000000000011</v>
      </c>
      <c r="Y10" s="132"/>
      <c r="Z10" s="532">
        <v>-131.1</v>
      </c>
      <c r="AA10" s="132"/>
      <c r="AB10" s="525">
        <v>-68</v>
      </c>
      <c r="AC10" s="525"/>
      <c r="AD10" s="567">
        <v>-63.1</v>
      </c>
      <c r="AE10" s="132"/>
    </row>
    <row r="11" spans="1:31" x14ac:dyDescent="0.2">
      <c r="A11" s="60" t="s">
        <v>3079</v>
      </c>
      <c r="B11" s="532">
        <v>-313.89999999999998</v>
      </c>
      <c r="C11" s="132"/>
      <c r="D11" s="525">
        <v>-110.09999999999997</v>
      </c>
      <c r="E11" s="525"/>
      <c r="F11" s="567">
        <v>-203.8</v>
      </c>
      <c r="G11" s="132"/>
      <c r="H11" s="532">
        <v>-117</v>
      </c>
      <c r="I11" s="132"/>
      <c r="J11" s="525">
        <v>-54.2</v>
      </c>
      <c r="K11" s="525"/>
      <c r="L11" s="567">
        <v>-62.8</v>
      </c>
      <c r="M11" s="132"/>
      <c r="N11" s="532">
        <v>-33.1</v>
      </c>
      <c r="O11" s="132"/>
      <c r="P11" s="525">
        <v>-18.200000000000003</v>
      </c>
      <c r="Q11" s="525"/>
      <c r="R11" s="567">
        <v>-14.9</v>
      </c>
      <c r="S11" s="132"/>
      <c r="T11" s="532">
        <v>-13.7</v>
      </c>
      <c r="U11" s="132"/>
      <c r="V11" s="525">
        <v>-2</v>
      </c>
      <c r="W11" s="525"/>
      <c r="X11" s="567">
        <v>-11.7</v>
      </c>
      <c r="Y11" s="132"/>
      <c r="Z11" s="532">
        <v>-20.8</v>
      </c>
      <c r="AA11" s="132"/>
      <c r="AB11" s="525">
        <v>-6.4</v>
      </c>
      <c r="AC11" s="525"/>
      <c r="AD11" s="567">
        <v>-14.4</v>
      </c>
      <c r="AE11" s="132"/>
    </row>
    <row r="12" spans="1:31" x14ac:dyDescent="0.2">
      <c r="A12" s="60" t="s">
        <v>3045</v>
      </c>
      <c r="B12" s="532">
        <v>20.100000000000001</v>
      </c>
      <c r="C12" s="132"/>
      <c r="D12" s="525">
        <v>292.90000000000003</v>
      </c>
      <c r="E12" s="525"/>
      <c r="F12" s="567">
        <v>-272.8</v>
      </c>
      <c r="G12" s="525"/>
      <c r="H12" s="532">
        <v>-397.9</v>
      </c>
      <c r="I12" s="525"/>
      <c r="J12" s="525">
        <v>286.80000000000007</v>
      </c>
      <c r="K12" s="525"/>
      <c r="L12" s="525">
        <v>-684.7</v>
      </c>
      <c r="M12" s="132"/>
      <c r="N12" s="532">
        <v>-126.1</v>
      </c>
      <c r="O12" s="132"/>
      <c r="P12" s="525">
        <v>196.9</v>
      </c>
      <c r="Q12" s="525"/>
      <c r="R12" s="633">
        <v>-323</v>
      </c>
      <c r="S12" s="132"/>
      <c r="T12" s="532">
        <v>-8.4</v>
      </c>
      <c r="U12" s="132"/>
      <c r="V12" s="525">
        <v>169.29999999999998</v>
      </c>
      <c r="W12" s="525"/>
      <c r="X12" s="633">
        <v>-177.7</v>
      </c>
      <c r="Y12" s="132"/>
      <c r="Z12" s="532">
        <v>-12.2</v>
      </c>
      <c r="AA12" s="132"/>
      <c r="AB12" s="525">
        <v>301</v>
      </c>
      <c r="AC12" s="525"/>
      <c r="AD12" s="567">
        <v>-313.2</v>
      </c>
      <c r="AE12" s="132"/>
    </row>
    <row r="13" spans="1:31" x14ac:dyDescent="0.2">
      <c r="A13" s="60" t="s">
        <v>3065</v>
      </c>
      <c r="B13" s="532">
        <v>-61.4</v>
      </c>
      <c r="C13" s="132"/>
      <c r="D13" s="525">
        <v>-37.700000000000003</v>
      </c>
      <c r="E13" s="525"/>
      <c r="F13" s="567">
        <v>-23.7</v>
      </c>
      <c r="G13" s="132"/>
      <c r="H13" s="532">
        <v>-43.4</v>
      </c>
      <c r="I13" s="132"/>
      <c r="J13" s="525">
        <v>-25.4</v>
      </c>
      <c r="K13" s="525"/>
      <c r="L13" s="567">
        <v>-18</v>
      </c>
      <c r="M13" s="132"/>
      <c r="N13" s="532">
        <v>-41.9</v>
      </c>
      <c r="O13" s="132"/>
      <c r="P13" s="525">
        <v>-26.9</v>
      </c>
      <c r="Q13" s="525"/>
      <c r="R13" s="567">
        <v>-15</v>
      </c>
      <c r="S13" s="132"/>
      <c r="T13" s="532">
        <v>-32.338267183224602</v>
      </c>
      <c r="U13" s="132"/>
      <c r="V13" s="525">
        <v>-18.099999999999998</v>
      </c>
      <c r="W13" s="525"/>
      <c r="X13" s="567">
        <v>-14.2</v>
      </c>
      <c r="Y13" s="132"/>
      <c r="Z13" s="532">
        <v>-44.9</v>
      </c>
      <c r="AA13" s="132"/>
      <c r="AB13" s="525">
        <v>-27.5</v>
      </c>
      <c r="AC13" s="525"/>
      <c r="AD13" s="567">
        <v>-17.399999999999999</v>
      </c>
      <c r="AE13" s="132"/>
    </row>
    <row r="14" spans="1:31" x14ac:dyDescent="0.2">
      <c r="A14" s="60" t="s">
        <v>3054</v>
      </c>
      <c r="B14" s="183">
        <v>37.700000000000003</v>
      </c>
      <c r="C14" s="132"/>
      <c r="D14" s="525">
        <v>19.300000000000004</v>
      </c>
      <c r="E14" s="534"/>
      <c r="F14" s="567">
        <v>18.399999999999999</v>
      </c>
      <c r="G14" s="132"/>
      <c r="H14" s="183">
        <v>7.9</v>
      </c>
      <c r="I14" s="132"/>
      <c r="J14" s="525">
        <v>4.5</v>
      </c>
      <c r="K14" s="534"/>
      <c r="L14" s="567">
        <v>3.4</v>
      </c>
      <c r="M14" s="132"/>
      <c r="N14" s="183">
        <v>44.6</v>
      </c>
      <c r="O14" s="132"/>
      <c r="P14" s="525">
        <v>16.900000000000002</v>
      </c>
      <c r="Q14" s="534"/>
      <c r="R14" s="567">
        <v>27.7</v>
      </c>
      <c r="S14" s="132"/>
      <c r="T14" s="183">
        <v>30.9</v>
      </c>
      <c r="U14" s="132"/>
      <c r="V14" s="525">
        <v>15.099999999999998</v>
      </c>
      <c r="W14" s="534"/>
      <c r="X14" s="567">
        <v>15.8</v>
      </c>
      <c r="Y14" s="132"/>
      <c r="Z14" s="183">
        <v>27.5</v>
      </c>
      <c r="AA14" s="132"/>
      <c r="AB14" s="525">
        <v>14</v>
      </c>
      <c r="AC14" s="534"/>
      <c r="AD14" s="567">
        <v>13.5</v>
      </c>
      <c r="AE14" s="132"/>
    </row>
    <row r="15" spans="1:31" x14ac:dyDescent="0.2">
      <c r="A15" s="60" t="s">
        <v>3043</v>
      </c>
      <c r="B15" s="532">
        <v>-53.8</v>
      </c>
      <c r="C15" s="132"/>
      <c r="D15" s="525">
        <v>-33.099999999999994</v>
      </c>
      <c r="E15" s="525"/>
      <c r="F15" s="633">
        <v>-20.7</v>
      </c>
      <c r="G15" s="132"/>
      <c r="H15" s="532">
        <v>-6.4</v>
      </c>
      <c r="I15" s="132"/>
      <c r="J15" s="525">
        <v>-3.8000000000000003</v>
      </c>
      <c r="K15" s="525"/>
      <c r="L15" s="633">
        <v>-2.5999999999999996</v>
      </c>
      <c r="M15" s="132"/>
      <c r="N15" s="532">
        <v>-4.8</v>
      </c>
      <c r="O15" s="132"/>
      <c r="P15" s="525">
        <v>-2.5</v>
      </c>
      <c r="Q15" s="525"/>
      <c r="R15" s="633">
        <v>-2.2999999999999989</v>
      </c>
      <c r="S15" s="132"/>
      <c r="T15" s="532">
        <v>-8</v>
      </c>
      <c r="U15" s="132"/>
      <c r="V15" s="525">
        <v>-3.0999999999999996</v>
      </c>
      <c r="W15" s="525"/>
      <c r="X15" s="633">
        <v>-4.9000000000000004</v>
      </c>
      <c r="Y15" s="132"/>
      <c r="Z15" s="532">
        <v>-8.8000000000000007</v>
      </c>
      <c r="AA15" s="132"/>
      <c r="AB15" s="525">
        <v>-4.6000000000000005</v>
      </c>
      <c r="AC15" s="525"/>
      <c r="AD15" s="567">
        <v>-4.2</v>
      </c>
      <c r="AE15" s="132"/>
    </row>
    <row r="16" spans="1:31" x14ac:dyDescent="0.2">
      <c r="A16" s="634" t="s">
        <v>3058</v>
      </c>
      <c r="B16" s="532">
        <v>-17.899999999999999</v>
      </c>
      <c r="C16" s="132"/>
      <c r="D16" s="525">
        <v>-7.4999999999999982</v>
      </c>
      <c r="E16" s="525"/>
      <c r="F16" s="567">
        <v>-10.399999999999999</v>
      </c>
      <c r="G16" s="525"/>
      <c r="H16" s="532">
        <v>-124.19999999999999</v>
      </c>
      <c r="I16" s="525"/>
      <c r="J16" s="525">
        <v>-100.29999999999998</v>
      </c>
      <c r="K16" s="525"/>
      <c r="L16" s="567">
        <v>-23.900000000000006</v>
      </c>
      <c r="M16" s="132"/>
      <c r="N16" s="532">
        <v>-14.699999999999998</v>
      </c>
      <c r="O16" s="132"/>
      <c r="P16" s="525">
        <v>-15.799999999999999</v>
      </c>
      <c r="Q16" s="525"/>
      <c r="R16" s="567">
        <v>1.0999999999999996</v>
      </c>
      <c r="S16" s="132"/>
      <c r="T16" s="532">
        <v>-18.399999999999999</v>
      </c>
      <c r="U16" s="132"/>
      <c r="V16" s="525">
        <v>-102.4</v>
      </c>
      <c r="W16" s="525"/>
      <c r="X16" s="567">
        <v>83.999999999999986</v>
      </c>
      <c r="Y16" s="132"/>
      <c r="Z16" s="532">
        <v>-0.2</v>
      </c>
      <c r="AA16" s="132"/>
      <c r="AB16" s="525">
        <v>-100</v>
      </c>
      <c r="AC16" s="525"/>
      <c r="AD16" s="567">
        <v>99.8</v>
      </c>
      <c r="AE16" s="132"/>
    </row>
    <row r="17" spans="1:31" s="134" customFormat="1" ht="10.5" x14ac:dyDescent="0.15">
      <c r="A17" s="133" t="s">
        <v>142</v>
      </c>
      <c r="B17" s="627">
        <v>700.80000000000018</v>
      </c>
      <c r="C17" s="172"/>
      <c r="D17" s="522">
        <v>553.19999999999993</v>
      </c>
      <c r="E17" s="522"/>
      <c r="F17" s="522">
        <v>147.59999999999991</v>
      </c>
      <c r="G17" s="172"/>
      <c r="H17" s="627">
        <v>1093.3</v>
      </c>
      <c r="I17" s="172"/>
      <c r="J17" s="522">
        <v>1172.7</v>
      </c>
      <c r="K17" s="522"/>
      <c r="L17" s="522">
        <v>-79.399999999999963</v>
      </c>
      <c r="M17" s="172"/>
      <c r="N17" s="627">
        <v>650.24976876999995</v>
      </c>
      <c r="O17" s="172"/>
      <c r="P17" s="522">
        <v>753.30000000000007</v>
      </c>
      <c r="Q17" s="522"/>
      <c r="R17" s="522">
        <v>-103.11030300494804</v>
      </c>
      <c r="S17" s="172"/>
      <c r="T17" s="627">
        <v>545.06895024023436</v>
      </c>
      <c r="U17" s="172"/>
      <c r="V17" s="522">
        <v>393.1</v>
      </c>
      <c r="W17" s="522"/>
      <c r="X17" s="522">
        <v>151.95631422901499</v>
      </c>
      <c r="Y17" s="172"/>
      <c r="Z17" s="627">
        <v>414.79999999999995</v>
      </c>
      <c r="AA17" s="172"/>
      <c r="AB17" s="522">
        <v>449.6</v>
      </c>
      <c r="AC17" s="522"/>
      <c r="AD17" s="522">
        <v>-34.799999999999997</v>
      </c>
      <c r="AE17" s="172"/>
    </row>
    <row r="18" spans="1:31" x14ac:dyDescent="0.2">
      <c r="A18" s="60"/>
      <c r="B18" s="532"/>
      <c r="C18" s="132"/>
      <c r="D18" s="525"/>
      <c r="E18" s="525"/>
      <c r="F18" s="525"/>
      <c r="G18" s="132"/>
      <c r="H18" s="532"/>
      <c r="I18" s="132"/>
      <c r="J18" s="525"/>
      <c r="K18" s="525"/>
      <c r="L18" s="525"/>
      <c r="M18" s="132"/>
      <c r="N18" s="532"/>
      <c r="O18" s="132"/>
      <c r="P18" s="525"/>
      <c r="Q18" s="525"/>
      <c r="R18" s="525"/>
      <c r="S18" s="132"/>
      <c r="T18" s="532"/>
      <c r="U18" s="132"/>
      <c r="V18" s="525"/>
      <c r="W18" s="525"/>
      <c r="X18" s="525"/>
      <c r="Y18" s="132"/>
      <c r="Z18" s="532"/>
      <c r="AA18" s="132"/>
      <c r="AB18" s="525"/>
      <c r="AC18" s="525"/>
      <c r="AD18" s="525"/>
      <c r="AE18" s="132"/>
    </row>
    <row r="19" spans="1:31" x14ac:dyDescent="0.2">
      <c r="A19" s="56" t="s">
        <v>143</v>
      </c>
      <c r="B19" s="532"/>
      <c r="C19" s="132"/>
      <c r="D19" s="525"/>
      <c r="E19" s="525"/>
      <c r="F19" s="525"/>
      <c r="G19" s="132"/>
      <c r="H19" s="532"/>
      <c r="I19" s="132"/>
      <c r="J19" s="525"/>
      <c r="K19" s="525"/>
      <c r="L19" s="525"/>
      <c r="M19" s="132"/>
      <c r="N19" s="532"/>
      <c r="O19" s="132"/>
      <c r="P19" s="525"/>
      <c r="Q19" s="525"/>
      <c r="R19" s="525"/>
      <c r="S19" s="132"/>
      <c r="T19" s="532"/>
      <c r="U19" s="132"/>
      <c r="V19" s="525"/>
      <c r="W19" s="525"/>
      <c r="X19" s="525"/>
      <c r="Y19" s="132"/>
      <c r="Z19" s="532"/>
      <c r="AA19" s="132"/>
      <c r="AB19" s="525"/>
      <c r="AC19" s="525"/>
      <c r="AD19" s="525"/>
      <c r="AE19" s="132"/>
    </row>
    <row r="20" spans="1:31" x14ac:dyDescent="0.2">
      <c r="A20" s="60" t="s">
        <v>144</v>
      </c>
      <c r="B20" s="532">
        <v>-86</v>
      </c>
      <c r="C20" s="132"/>
      <c r="D20" s="525">
        <v>-49.3</v>
      </c>
      <c r="E20" s="525"/>
      <c r="F20" s="567">
        <v>-36.700000000000003</v>
      </c>
      <c r="G20" s="132"/>
      <c r="H20" s="532">
        <v>-91.2</v>
      </c>
      <c r="I20" s="132"/>
      <c r="J20" s="525">
        <v>-55.300000000000004</v>
      </c>
      <c r="K20" s="525"/>
      <c r="L20" s="567">
        <v>-35.9</v>
      </c>
      <c r="M20" s="132"/>
      <c r="N20" s="532">
        <v>-51.2</v>
      </c>
      <c r="O20" s="132"/>
      <c r="P20" s="525">
        <v>-34.1</v>
      </c>
      <c r="Q20" s="525"/>
      <c r="R20" s="567">
        <v>-17.100000000000001</v>
      </c>
      <c r="S20" s="132"/>
      <c r="T20" s="532">
        <v>-60.2</v>
      </c>
      <c r="U20" s="132"/>
      <c r="V20" s="525">
        <v>-24.700000000000003</v>
      </c>
      <c r="W20" s="525"/>
      <c r="X20" s="567">
        <v>-35.5</v>
      </c>
      <c r="Y20" s="132"/>
      <c r="Z20" s="532">
        <v>-55.2</v>
      </c>
      <c r="AA20" s="132"/>
      <c r="AB20" s="525">
        <v>-32</v>
      </c>
      <c r="AC20" s="525"/>
      <c r="AD20" s="567">
        <v>-23.2</v>
      </c>
      <c r="AE20" s="132"/>
    </row>
    <row r="21" spans="1:31" x14ac:dyDescent="0.2">
      <c r="A21" s="60" t="s">
        <v>3112</v>
      </c>
      <c r="B21" s="532">
        <v>-409.1</v>
      </c>
      <c r="C21" s="132"/>
      <c r="D21" s="525">
        <v>-218.70000000000002</v>
      </c>
      <c r="E21" s="525"/>
      <c r="F21" s="567">
        <v>-190.4</v>
      </c>
      <c r="G21" s="132"/>
      <c r="H21" s="532">
        <v>-342.8</v>
      </c>
      <c r="I21" s="132"/>
      <c r="J21" s="525">
        <v>-217.9</v>
      </c>
      <c r="K21" s="525"/>
      <c r="L21" s="567">
        <v>-124.9</v>
      </c>
      <c r="M21" s="132"/>
      <c r="N21" s="532">
        <v>-303.8</v>
      </c>
      <c r="O21" s="132"/>
      <c r="P21" s="525">
        <v>-162.80000000000001</v>
      </c>
      <c r="Q21" s="525"/>
      <c r="R21" s="567">
        <v>-141</v>
      </c>
      <c r="S21" s="132"/>
      <c r="T21" s="532">
        <v>-218.2</v>
      </c>
      <c r="U21" s="132"/>
      <c r="V21" s="525">
        <v>-99.6</v>
      </c>
      <c r="W21" s="525"/>
      <c r="X21" s="567">
        <v>-118.6</v>
      </c>
      <c r="Y21" s="132"/>
      <c r="Z21" s="532">
        <v>-292.90000000000003</v>
      </c>
      <c r="AA21" s="132"/>
      <c r="AB21" s="525">
        <v>-144.29999999999998</v>
      </c>
      <c r="AC21" s="525"/>
      <c r="AD21" s="567">
        <v>-148.60000000000002</v>
      </c>
      <c r="AE21" s="132"/>
    </row>
    <row r="22" spans="1:31" x14ac:dyDescent="0.2">
      <c r="A22" s="60" t="s">
        <v>3047</v>
      </c>
      <c r="B22" s="532">
        <v>13.3</v>
      </c>
      <c r="C22" s="132"/>
      <c r="D22" s="525">
        <v>-0.89999999999999858</v>
      </c>
      <c r="E22" s="525"/>
      <c r="F22" s="567">
        <v>14.2</v>
      </c>
      <c r="G22" s="132"/>
      <c r="H22" s="532">
        <v>5.7</v>
      </c>
      <c r="I22" s="132"/>
      <c r="J22" s="525">
        <v>5</v>
      </c>
      <c r="K22" s="525"/>
      <c r="L22" s="567">
        <v>0.7</v>
      </c>
      <c r="M22" s="132"/>
      <c r="N22" s="532">
        <v>5.7</v>
      </c>
      <c r="O22" s="132"/>
      <c r="P22" s="525">
        <v>3.2</v>
      </c>
      <c r="Q22" s="525"/>
      <c r="R22" s="567">
        <v>2.5</v>
      </c>
      <c r="S22" s="132"/>
      <c r="T22" s="532">
        <v>7.4</v>
      </c>
      <c r="U22" s="132"/>
      <c r="V22" s="525">
        <v>5.5</v>
      </c>
      <c r="W22" s="525"/>
      <c r="X22" s="567">
        <v>1.9</v>
      </c>
      <c r="Y22" s="132"/>
      <c r="Z22" s="532">
        <v>10.8</v>
      </c>
      <c r="AA22" s="132"/>
      <c r="AB22" s="525">
        <v>7.4</v>
      </c>
      <c r="AC22" s="525"/>
      <c r="AD22" s="567">
        <v>3.4</v>
      </c>
      <c r="AE22" s="132"/>
    </row>
    <row r="23" spans="1:31" ht="10.5" customHeight="1" x14ac:dyDescent="0.2">
      <c r="A23" s="60" t="s">
        <v>218</v>
      </c>
      <c r="B23" s="696">
        <v>0</v>
      </c>
      <c r="C23" s="60"/>
      <c r="D23" s="633">
        <v>0</v>
      </c>
      <c r="E23" s="525"/>
      <c r="F23" s="633">
        <v>0</v>
      </c>
      <c r="G23" s="60"/>
      <c r="H23" s="532">
        <v>-146.4</v>
      </c>
      <c r="I23" s="60"/>
      <c r="J23" s="525">
        <v>-144.6</v>
      </c>
      <c r="K23" s="525"/>
      <c r="L23" s="633">
        <v>-1.8</v>
      </c>
      <c r="M23" s="60"/>
      <c r="N23" s="532">
        <v>6.8999999999999986</v>
      </c>
      <c r="O23" s="60"/>
      <c r="P23" s="525">
        <v>12.3</v>
      </c>
      <c r="Q23" s="525"/>
      <c r="R23" s="633">
        <v>-5.3999999999999995</v>
      </c>
      <c r="S23" s="60"/>
      <c r="T23" s="532">
        <v>-108.39999999999999</v>
      </c>
      <c r="U23" s="60"/>
      <c r="V23" s="525">
        <v>-39.400000000000006</v>
      </c>
      <c r="W23" s="525"/>
      <c r="X23" s="633">
        <v>-69</v>
      </c>
      <c r="Y23" s="60"/>
      <c r="Z23" s="532">
        <v>-4.3</v>
      </c>
      <c r="AA23" s="60"/>
      <c r="AB23" s="525">
        <v>1.2000000000000002</v>
      </c>
      <c r="AC23" s="525"/>
      <c r="AD23" s="567">
        <v>-5.5</v>
      </c>
      <c r="AE23" s="60"/>
    </row>
    <row r="24" spans="1:31" x14ac:dyDescent="0.2">
      <c r="A24" s="133" t="s">
        <v>145</v>
      </c>
      <c r="B24" s="627">
        <v>-481.8</v>
      </c>
      <c r="C24" s="172"/>
      <c r="D24" s="522">
        <v>-268.89999999999998</v>
      </c>
      <c r="E24" s="522"/>
      <c r="F24" s="522">
        <v>-212.90000000000003</v>
      </c>
      <c r="G24" s="172"/>
      <c r="H24" s="627">
        <v>-574.70000000000005</v>
      </c>
      <c r="I24" s="172"/>
      <c r="J24" s="522">
        <v>-412.80000000000007</v>
      </c>
      <c r="K24" s="522"/>
      <c r="L24" s="522">
        <v>-161.90000000000003</v>
      </c>
      <c r="M24" s="172"/>
      <c r="N24" s="627">
        <v>-342.40000000000003</v>
      </c>
      <c r="O24" s="172"/>
      <c r="P24" s="522">
        <v>-181.39999999999998</v>
      </c>
      <c r="Q24" s="522"/>
      <c r="R24" s="522">
        <v>-161</v>
      </c>
      <c r="S24" s="172"/>
      <c r="T24" s="627">
        <v>-379.4</v>
      </c>
      <c r="U24" s="172"/>
      <c r="V24" s="522">
        <v>-158.19999999999999</v>
      </c>
      <c r="W24" s="522"/>
      <c r="X24" s="522">
        <v>-221.2</v>
      </c>
      <c r="Y24" s="172"/>
      <c r="Z24" s="627">
        <v>-341.59999999999997</v>
      </c>
      <c r="AA24" s="172"/>
      <c r="AB24" s="522">
        <v>-167.70000000000002</v>
      </c>
      <c r="AC24" s="522"/>
      <c r="AD24" s="522">
        <v>-173.89999999999998</v>
      </c>
      <c r="AE24" s="172"/>
    </row>
    <row r="25" spans="1:31" x14ac:dyDescent="0.2">
      <c r="A25" s="60"/>
      <c r="B25" s="532"/>
      <c r="C25" s="132"/>
      <c r="D25" s="525"/>
      <c r="E25" s="525"/>
      <c r="F25" s="525"/>
      <c r="G25" s="132"/>
      <c r="H25" s="532"/>
      <c r="I25" s="132"/>
      <c r="J25" s="525"/>
      <c r="K25" s="525"/>
      <c r="L25" s="525"/>
      <c r="M25" s="132"/>
      <c r="N25" s="532"/>
      <c r="O25" s="132"/>
      <c r="P25" s="525"/>
      <c r="Q25" s="525"/>
      <c r="R25" s="525"/>
      <c r="S25" s="132"/>
      <c r="T25" s="532"/>
      <c r="U25" s="132"/>
      <c r="V25" s="525"/>
      <c r="W25" s="525"/>
      <c r="X25" s="525"/>
      <c r="Y25" s="132"/>
      <c r="Z25" s="532"/>
      <c r="AA25" s="132"/>
      <c r="AB25" s="525"/>
      <c r="AC25" s="525"/>
      <c r="AD25" s="525"/>
      <c r="AE25" s="132"/>
    </row>
    <row r="26" spans="1:31" x14ac:dyDescent="0.2">
      <c r="A26" s="626" t="s">
        <v>146</v>
      </c>
      <c r="B26" s="532"/>
      <c r="C26" s="132"/>
      <c r="D26" s="525"/>
      <c r="E26" s="525"/>
      <c r="F26" s="568"/>
      <c r="G26" s="132"/>
      <c r="H26" s="532"/>
      <c r="I26" s="132"/>
      <c r="J26" s="525"/>
      <c r="K26" s="525"/>
      <c r="L26" s="568"/>
      <c r="M26" s="132"/>
      <c r="N26" s="532"/>
      <c r="O26" s="132"/>
      <c r="P26" s="525"/>
      <c r="Q26" s="525"/>
      <c r="R26" s="568"/>
      <c r="S26" s="132"/>
      <c r="T26" s="532"/>
      <c r="U26" s="132"/>
      <c r="V26" s="525"/>
      <c r="W26" s="525"/>
      <c r="X26" s="568"/>
      <c r="Y26" s="132"/>
      <c r="Z26" s="532"/>
      <c r="AA26" s="132"/>
      <c r="AB26" s="525"/>
      <c r="AC26" s="525"/>
      <c r="AD26" s="568"/>
      <c r="AE26" s="132"/>
    </row>
    <row r="27" spans="1:31" x14ac:dyDescent="0.2">
      <c r="A27" s="60" t="s">
        <v>3060</v>
      </c>
      <c r="B27" s="660">
        <v>-524.4</v>
      </c>
      <c r="C27" s="132"/>
      <c r="D27" s="567">
        <v>-194.2</v>
      </c>
      <c r="E27" s="539"/>
      <c r="F27" s="567">
        <v>-330.2</v>
      </c>
      <c r="G27" s="132"/>
      <c r="H27" s="660">
        <v>-355.4</v>
      </c>
      <c r="I27" s="132"/>
      <c r="J27" s="567">
        <v>-194.2</v>
      </c>
      <c r="K27" s="539"/>
      <c r="L27" s="567">
        <v>-161.19999999999999</v>
      </c>
      <c r="M27" s="132"/>
      <c r="N27" s="660">
        <v>-19.399999999999999</v>
      </c>
      <c r="O27" s="132"/>
      <c r="P27" s="567">
        <v>-19.399999999999999</v>
      </c>
      <c r="Q27" s="539"/>
      <c r="R27" s="567">
        <v>0</v>
      </c>
      <c r="S27" s="132"/>
      <c r="T27" s="660">
        <v>-30.7</v>
      </c>
      <c r="U27" s="132"/>
      <c r="V27" s="568">
        <v>0</v>
      </c>
      <c r="W27" s="539"/>
      <c r="X27" s="567">
        <v>-30.7</v>
      </c>
      <c r="Y27" s="132"/>
      <c r="Z27" s="532">
        <v>-121.7</v>
      </c>
      <c r="AA27" s="132"/>
      <c r="AB27" s="539">
        <v>-20.900000000000006</v>
      </c>
      <c r="AC27" s="539"/>
      <c r="AD27" s="567">
        <v>-100.8</v>
      </c>
      <c r="AE27" s="132"/>
    </row>
    <row r="28" spans="1:31" x14ac:dyDescent="0.2">
      <c r="A28" s="60" t="s">
        <v>3061</v>
      </c>
      <c r="B28" s="182">
        <v>0</v>
      </c>
      <c r="C28" s="132"/>
      <c r="D28" s="567">
        <v>0</v>
      </c>
      <c r="E28" s="539"/>
      <c r="F28" s="567">
        <v>0</v>
      </c>
      <c r="G28" s="132"/>
      <c r="H28" s="182">
        <v>0</v>
      </c>
      <c r="I28" s="132"/>
      <c r="J28" s="567">
        <v>0</v>
      </c>
      <c r="K28" s="539"/>
      <c r="L28" s="567">
        <v>0</v>
      </c>
      <c r="M28" s="132"/>
      <c r="N28" s="182">
        <v>0</v>
      </c>
      <c r="O28" s="132"/>
      <c r="P28" s="567">
        <v>0</v>
      </c>
      <c r="Q28" s="539"/>
      <c r="R28" s="567">
        <v>0</v>
      </c>
      <c r="S28" s="132"/>
      <c r="T28" s="182">
        <v>0</v>
      </c>
      <c r="U28" s="132"/>
      <c r="V28" s="568">
        <v>0</v>
      </c>
      <c r="W28" s="539"/>
      <c r="X28" s="567">
        <v>0</v>
      </c>
      <c r="Y28" s="132"/>
      <c r="Z28" s="532">
        <v>-5.9</v>
      </c>
      <c r="AA28" s="132"/>
      <c r="AB28" s="568">
        <v>0</v>
      </c>
      <c r="AC28" s="539"/>
      <c r="AD28" s="567">
        <v>-5.9</v>
      </c>
      <c r="AE28" s="132"/>
    </row>
    <row r="29" spans="1:31" x14ac:dyDescent="0.2">
      <c r="A29" s="60" t="s">
        <v>3063</v>
      </c>
      <c r="B29" s="182">
        <v>0</v>
      </c>
      <c r="C29" s="132"/>
      <c r="D29" s="567">
        <v>0</v>
      </c>
      <c r="E29" s="539"/>
      <c r="F29" s="567">
        <v>0</v>
      </c>
      <c r="G29" s="132"/>
      <c r="H29" s="182">
        <v>0</v>
      </c>
      <c r="I29" s="132"/>
      <c r="J29" s="567">
        <v>0</v>
      </c>
      <c r="K29" s="539"/>
      <c r="L29" s="567">
        <v>0</v>
      </c>
      <c r="M29" s="132"/>
      <c r="N29" s="182">
        <v>0</v>
      </c>
      <c r="O29" s="132"/>
      <c r="P29" s="567">
        <v>0</v>
      </c>
      <c r="Q29" s="539"/>
      <c r="R29" s="567">
        <v>0</v>
      </c>
      <c r="S29" s="132"/>
      <c r="T29" s="182">
        <v>0</v>
      </c>
      <c r="U29" s="132"/>
      <c r="V29" s="568">
        <v>0</v>
      </c>
      <c r="W29" s="539"/>
      <c r="X29" s="567">
        <v>0</v>
      </c>
      <c r="Y29" s="132"/>
      <c r="Z29" s="532">
        <v>-89.7</v>
      </c>
      <c r="AA29" s="132"/>
      <c r="AB29" s="568">
        <v>0</v>
      </c>
      <c r="AC29" s="539"/>
      <c r="AD29" s="567">
        <v>-89.7</v>
      </c>
      <c r="AE29" s="132"/>
    </row>
    <row r="30" spans="1:31" x14ac:dyDescent="0.2">
      <c r="A30" s="60" t="s">
        <v>3093</v>
      </c>
      <c r="B30" s="660">
        <v>0</v>
      </c>
      <c r="C30" s="132"/>
      <c r="D30" s="567">
        <v>0</v>
      </c>
      <c r="E30" s="539"/>
      <c r="F30" s="567">
        <v>0</v>
      </c>
      <c r="G30" s="132"/>
      <c r="H30" s="660">
        <v>0</v>
      </c>
      <c r="I30" s="132"/>
      <c r="J30" s="567">
        <v>0</v>
      </c>
      <c r="K30" s="539"/>
      <c r="L30" s="567">
        <v>0</v>
      </c>
      <c r="M30" s="132"/>
      <c r="N30" s="660">
        <v>0</v>
      </c>
      <c r="O30" s="132"/>
      <c r="P30" s="567">
        <v>0</v>
      </c>
      <c r="Q30" s="539"/>
      <c r="R30" s="567">
        <v>0</v>
      </c>
      <c r="S30" s="132"/>
      <c r="T30" s="660">
        <v>645.5</v>
      </c>
      <c r="U30" s="132"/>
      <c r="V30" s="568">
        <v>645.5</v>
      </c>
      <c r="W30" s="539"/>
      <c r="X30" s="567">
        <v>0</v>
      </c>
      <c r="Y30" s="132"/>
      <c r="Z30" s="182">
        <v>0</v>
      </c>
      <c r="AA30" s="132"/>
      <c r="AB30" s="568">
        <v>0</v>
      </c>
      <c r="AC30" s="539"/>
      <c r="AD30" s="568">
        <v>0</v>
      </c>
      <c r="AE30" s="132"/>
    </row>
    <row r="31" spans="1:31" x14ac:dyDescent="0.2">
      <c r="A31" s="60" t="s">
        <v>3064</v>
      </c>
      <c r="B31" s="660">
        <v>0</v>
      </c>
      <c r="C31" s="132"/>
      <c r="D31" s="567">
        <v>0</v>
      </c>
      <c r="E31" s="539"/>
      <c r="F31" s="567">
        <v>0</v>
      </c>
      <c r="G31" s="132"/>
      <c r="H31" s="660">
        <v>-9</v>
      </c>
      <c r="I31" s="132"/>
      <c r="J31" s="567">
        <v>-7.5</v>
      </c>
      <c r="K31" s="539"/>
      <c r="L31" s="567">
        <v>-1.5</v>
      </c>
      <c r="M31" s="132"/>
      <c r="N31" s="660">
        <v>-1</v>
      </c>
      <c r="O31" s="132"/>
      <c r="P31" s="567">
        <v>0</v>
      </c>
      <c r="Q31" s="539"/>
      <c r="R31" s="567">
        <v>-1</v>
      </c>
      <c r="S31" s="132"/>
      <c r="T31" s="660">
        <v>-1.3</v>
      </c>
      <c r="U31" s="132"/>
      <c r="V31" s="568">
        <v>0</v>
      </c>
      <c r="W31" s="539"/>
      <c r="X31" s="567">
        <v>-1.3</v>
      </c>
      <c r="Y31" s="132"/>
      <c r="Z31" s="532">
        <v>-0.6</v>
      </c>
      <c r="AA31" s="132"/>
      <c r="AB31" s="568">
        <v>0</v>
      </c>
      <c r="AC31" s="539"/>
      <c r="AD31" s="567">
        <v>-0.6</v>
      </c>
      <c r="AE31" s="132"/>
    </row>
    <row r="32" spans="1:31" x14ac:dyDescent="0.2">
      <c r="A32" s="60" t="s">
        <v>3081</v>
      </c>
      <c r="B32" s="532">
        <v>-50.5</v>
      </c>
      <c r="C32" s="132"/>
      <c r="D32" s="567">
        <v>-30.4</v>
      </c>
      <c r="E32" s="539"/>
      <c r="F32" s="567">
        <v>-20.100000000000001</v>
      </c>
      <c r="G32" s="132"/>
      <c r="H32" s="532">
        <v>-42.9</v>
      </c>
      <c r="I32" s="132"/>
      <c r="J32" s="567">
        <v>-21.7</v>
      </c>
      <c r="K32" s="539"/>
      <c r="L32" s="567">
        <v>-21.2</v>
      </c>
      <c r="M32" s="132"/>
      <c r="N32" s="532">
        <v>-41.4</v>
      </c>
      <c r="O32" s="132"/>
      <c r="P32" s="567">
        <v>-21.5</v>
      </c>
      <c r="Q32" s="539"/>
      <c r="R32" s="567">
        <v>-19.899999999999999</v>
      </c>
      <c r="S32" s="132"/>
      <c r="T32" s="532">
        <v>-41.9</v>
      </c>
      <c r="U32" s="132"/>
      <c r="V32" s="568">
        <v>-21.7</v>
      </c>
      <c r="W32" s="539"/>
      <c r="X32" s="567">
        <v>-20.2</v>
      </c>
      <c r="Y32" s="132"/>
      <c r="Z32" s="182">
        <v>0</v>
      </c>
      <c r="AA32" s="132"/>
      <c r="AB32" s="568">
        <v>0</v>
      </c>
      <c r="AC32" s="539"/>
      <c r="AD32" s="568">
        <v>0</v>
      </c>
      <c r="AE32" s="132"/>
    </row>
    <row r="33" spans="1:31" s="632" customFormat="1" ht="12.75" customHeight="1" x14ac:dyDescent="0.2">
      <c r="A33" s="60" t="s">
        <v>3097</v>
      </c>
      <c r="B33" s="628">
        <v>-22.9</v>
      </c>
      <c r="C33" s="630"/>
      <c r="D33" s="631">
        <v>-57.1</v>
      </c>
      <c r="E33" s="631">
        <v>0</v>
      </c>
      <c r="F33" s="631">
        <v>34.200000000000003</v>
      </c>
      <c r="G33" s="630">
        <v>0</v>
      </c>
      <c r="H33" s="628">
        <v>-143.30000000000001</v>
      </c>
      <c r="I33" s="630"/>
      <c r="J33" s="631">
        <v>-186.8</v>
      </c>
      <c r="K33" s="631">
        <v>0</v>
      </c>
      <c r="L33" s="631">
        <v>43.5</v>
      </c>
      <c r="M33" s="630">
        <v>0</v>
      </c>
      <c r="N33" s="628">
        <v>-221.54976876999999</v>
      </c>
      <c r="O33" s="630"/>
      <c r="P33" s="631">
        <v>-202</v>
      </c>
      <c r="Q33" s="631">
        <v>0</v>
      </c>
      <c r="R33" s="631">
        <v>-19.500000000000014</v>
      </c>
      <c r="S33" s="630">
        <v>0</v>
      </c>
      <c r="T33" s="628">
        <v>-74.600000000000009</v>
      </c>
      <c r="U33" s="630"/>
      <c r="V33" s="568">
        <v>-11.199999999999996</v>
      </c>
      <c r="W33" s="631">
        <v>0</v>
      </c>
      <c r="X33" s="631">
        <v>-63.400000000000006</v>
      </c>
      <c r="Y33" s="630">
        <v>0</v>
      </c>
      <c r="Z33" s="628">
        <v>-175.1</v>
      </c>
      <c r="AA33" s="630"/>
      <c r="AB33" s="631">
        <v>-32.5</v>
      </c>
      <c r="AC33" s="631">
        <v>0</v>
      </c>
      <c r="AD33" s="631">
        <v>-142.6</v>
      </c>
      <c r="AE33" s="630">
        <v>0</v>
      </c>
    </row>
    <row r="34" spans="1:31" x14ac:dyDescent="0.2">
      <c r="A34" s="133" t="s">
        <v>147</v>
      </c>
      <c r="B34" s="627">
        <v>-597.79999999999995</v>
      </c>
      <c r="C34" s="172"/>
      <c r="D34" s="522">
        <v>-281.69999999999993</v>
      </c>
      <c r="E34" s="522"/>
      <c r="F34" s="522">
        <v>-316.10000000000002</v>
      </c>
      <c r="G34" s="172"/>
      <c r="H34" s="627">
        <v>-550.59999999999991</v>
      </c>
      <c r="I34" s="172"/>
      <c r="J34" s="522">
        <v>-410.20000000000005</v>
      </c>
      <c r="K34" s="522"/>
      <c r="L34" s="522">
        <v>-140.39999999999998</v>
      </c>
      <c r="M34" s="172"/>
      <c r="N34" s="627">
        <v>-283.34976876999997</v>
      </c>
      <c r="O34" s="172"/>
      <c r="P34" s="522">
        <v>-242.9</v>
      </c>
      <c r="Q34" s="522"/>
      <c r="R34" s="522">
        <v>-40.400000000000013</v>
      </c>
      <c r="S34" s="172"/>
      <c r="T34" s="627">
        <v>497</v>
      </c>
      <c r="U34" s="172"/>
      <c r="V34" s="522">
        <v>612.6</v>
      </c>
      <c r="W34" s="522"/>
      <c r="X34" s="522">
        <v>-115.60000000000001</v>
      </c>
      <c r="Y34" s="172"/>
      <c r="Z34" s="627">
        <v>-393</v>
      </c>
      <c r="AA34" s="172"/>
      <c r="AB34" s="522">
        <v>-53.399999999999977</v>
      </c>
      <c r="AC34" s="522"/>
      <c r="AD34" s="522">
        <v>-339.6</v>
      </c>
      <c r="AE34" s="172"/>
    </row>
    <row r="35" spans="1:31" x14ac:dyDescent="0.2">
      <c r="A35" s="60"/>
      <c r="B35" s="532"/>
      <c r="C35" s="132"/>
      <c r="D35" s="525"/>
      <c r="E35" s="525"/>
      <c r="F35" s="525"/>
      <c r="G35" s="132"/>
      <c r="H35" s="532"/>
      <c r="I35" s="132"/>
      <c r="J35" s="525"/>
      <c r="K35" s="525"/>
      <c r="L35" s="525"/>
      <c r="M35" s="132"/>
      <c r="N35" s="532"/>
      <c r="O35" s="132"/>
      <c r="P35" s="525"/>
      <c r="Q35" s="525"/>
      <c r="R35" s="525"/>
      <c r="S35" s="132"/>
      <c r="T35" s="532"/>
      <c r="U35" s="132"/>
      <c r="V35" s="525"/>
      <c r="W35" s="525"/>
      <c r="X35" s="525"/>
      <c r="Y35" s="132"/>
      <c r="Z35" s="532"/>
      <c r="AA35" s="132"/>
      <c r="AB35" s="525"/>
      <c r="AC35" s="525"/>
      <c r="AD35" s="525"/>
      <c r="AE35" s="132"/>
    </row>
    <row r="36" spans="1:31" x14ac:dyDescent="0.2">
      <c r="A36" s="133" t="s">
        <v>3059</v>
      </c>
      <c r="B36" s="627">
        <v>-378.8</v>
      </c>
      <c r="C36" s="172"/>
      <c r="D36" s="522">
        <v>2.5999999999999659</v>
      </c>
      <c r="E36" s="522"/>
      <c r="F36" s="522">
        <v>-381.40000000000003</v>
      </c>
      <c r="G36" s="172"/>
      <c r="H36" s="627">
        <v>-32.000000000000114</v>
      </c>
      <c r="I36" s="172"/>
      <c r="J36" s="522">
        <v>349.7</v>
      </c>
      <c r="K36" s="522"/>
      <c r="L36" s="522">
        <v>-381.7</v>
      </c>
      <c r="M36" s="172"/>
      <c r="N36" s="627">
        <v>24.500000000000057</v>
      </c>
      <c r="O36" s="172"/>
      <c r="P36" s="522">
        <v>329</v>
      </c>
      <c r="Q36" s="522"/>
      <c r="R36" s="522">
        <v>-304.51030300494807</v>
      </c>
      <c r="S36" s="172"/>
      <c r="T36" s="627">
        <v>662.7</v>
      </c>
      <c r="U36" s="172"/>
      <c r="V36" s="522">
        <v>847.5</v>
      </c>
      <c r="W36" s="522"/>
      <c r="X36" s="522">
        <v>-184.84368577098502</v>
      </c>
      <c r="Y36" s="172"/>
      <c r="Z36" s="627">
        <v>-319.8</v>
      </c>
      <c r="AA36" s="172"/>
      <c r="AB36" s="522">
        <v>228.49999999999994</v>
      </c>
      <c r="AC36" s="522"/>
      <c r="AD36" s="522">
        <v>-548.29999999999995</v>
      </c>
      <c r="AE36" s="172"/>
    </row>
    <row r="37" spans="1:31" x14ac:dyDescent="0.2">
      <c r="A37" s="533"/>
      <c r="B37" s="525"/>
      <c r="C37" s="525"/>
      <c r="D37" s="525"/>
      <c r="E37" s="540"/>
      <c r="F37" s="525"/>
      <c r="G37" s="525"/>
      <c r="H37" s="525"/>
      <c r="I37" s="525"/>
      <c r="J37" s="525"/>
      <c r="K37" s="540"/>
      <c r="L37" s="525"/>
      <c r="M37" s="525"/>
      <c r="N37" s="525"/>
      <c r="O37" s="525"/>
      <c r="P37" s="525"/>
      <c r="Q37" s="540"/>
      <c r="R37" s="525"/>
      <c r="S37" s="525"/>
      <c r="T37" s="525"/>
      <c r="U37" s="525"/>
      <c r="V37" s="525"/>
      <c r="W37" s="540"/>
      <c r="X37" s="525"/>
      <c r="Y37" s="525"/>
      <c r="Z37" s="525"/>
      <c r="AA37" s="525"/>
      <c r="AB37" s="525"/>
      <c r="AC37" s="540"/>
      <c r="AD37" s="525"/>
      <c r="AE37" s="525"/>
    </row>
    <row r="40" spans="1:31" x14ac:dyDescent="0.2">
      <c r="F40" s="681"/>
      <c r="G40" s="70"/>
      <c r="L40" s="681"/>
      <c r="M40" s="70"/>
      <c r="N40" s="70"/>
    </row>
  </sheetData>
  <dataValidations count="1">
    <dataValidation allowBlank="1" showErrorMessage="1" sqref="J40:N40 P40:XFD40 D40:H40 A41:XFD1048576 A40:B40 A1:XFD39" xr:uid="{7B04CF71-0290-4393-B157-9071DB5D0919}"/>
  </dataValidations>
  <pageMargins left="0.25" right="0.25" top="0.75" bottom="0.75" header="0.3" footer="0.3"/>
  <pageSetup paperSize="8" scale="59" orientation="portrait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W31"/>
  <sheetViews>
    <sheetView workbookViewId="0"/>
  </sheetViews>
  <sheetFormatPr defaultColWidth="9.28515625" defaultRowHeight="11.25" outlineLevelCol="1" x14ac:dyDescent="0.2"/>
  <cols>
    <col min="1" max="1" width="28.28515625" style="58" customWidth="1"/>
    <col min="2" max="2" width="1.7109375" style="40" customWidth="1"/>
    <col min="3" max="3" width="12" style="40" bestFit="1" customWidth="1"/>
    <col min="4" max="4" width="1.7109375" style="40" customWidth="1"/>
    <col min="5" max="5" width="10" style="40" customWidth="1"/>
    <col min="6" max="6" width="1.7109375" style="40" customWidth="1"/>
    <col min="7" max="7" width="10" style="40" customWidth="1"/>
    <col min="8" max="8" width="1.7109375" style="40" hidden="1" customWidth="1" outlineLevel="1"/>
    <col min="9" max="9" width="10" style="40" hidden="1" customWidth="1" outlineLevel="1"/>
    <col min="10" max="10" width="1.7109375" style="40" hidden="1" customWidth="1" outlineLevel="1"/>
    <col min="11" max="11" width="9.5703125" style="40" hidden="1" customWidth="1" outlineLevel="1"/>
    <col min="12" max="12" width="2.42578125" style="40" customWidth="1" collapsed="1"/>
    <col min="13" max="13" width="9.28515625" style="40" bestFit="1" customWidth="1"/>
    <col min="14" max="14" width="28.28515625" style="58" customWidth="1"/>
    <col min="15" max="15" width="1.7109375" style="40" customWidth="1"/>
    <col min="16" max="16" width="12" style="40" bestFit="1" customWidth="1"/>
    <col min="17" max="17" width="1.7109375" style="40" customWidth="1"/>
    <col min="18" max="18" width="10" style="40" customWidth="1"/>
    <col min="19" max="19" width="1.7109375" style="40" customWidth="1"/>
    <col min="20" max="20" width="10" style="40" customWidth="1"/>
    <col min="21" max="16384" width="9.28515625" style="40"/>
  </cols>
  <sheetData>
    <row r="1" spans="1:23" ht="22.5" customHeight="1" x14ac:dyDescent="0.2">
      <c r="A1" s="33" t="s">
        <v>63</v>
      </c>
      <c r="B1" s="34"/>
      <c r="C1" s="35" t="s">
        <v>64</v>
      </c>
      <c r="D1" s="36"/>
      <c r="E1" s="35" t="s">
        <v>65</v>
      </c>
      <c r="F1" s="36"/>
      <c r="G1" s="37" t="s">
        <v>66</v>
      </c>
      <c r="H1" s="36"/>
      <c r="I1" s="38" t="s">
        <v>67</v>
      </c>
      <c r="J1" s="36"/>
      <c r="K1" s="39" t="s">
        <v>68</v>
      </c>
      <c r="N1" s="41" t="s">
        <v>63</v>
      </c>
      <c r="O1" s="34"/>
      <c r="P1" s="42" t="s">
        <v>64</v>
      </c>
      <c r="Q1" s="36"/>
      <c r="R1" s="42" t="s">
        <v>65</v>
      </c>
      <c r="S1" s="36"/>
      <c r="T1" s="43" t="s">
        <v>66</v>
      </c>
    </row>
    <row r="2" spans="1:23" x14ac:dyDescent="0.2">
      <c r="A2" s="44"/>
      <c r="B2" s="45"/>
      <c r="C2" s="46" t="s">
        <v>69</v>
      </c>
      <c r="D2" s="36"/>
      <c r="E2" s="46" t="s">
        <v>69</v>
      </c>
      <c r="F2" s="36"/>
      <c r="G2" s="46" t="s">
        <v>69</v>
      </c>
      <c r="H2" s="36"/>
      <c r="I2" s="47" t="s">
        <v>69</v>
      </c>
      <c r="J2" s="36"/>
      <c r="K2" s="47" t="s">
        <v>69</v>
      </c>
      <c r="N2" s="48"/>
      <c r="O2" s="45"/>
      <c r="P2" s="49" t="s">
        <v>69</v>
      </c>
      <c r="Q2" s="36"/>
      <c r="R2" s="49" t="s">
        <v>69</v>
      </c>
      <c r="S2" s="36"/>
      <c r="T2" s="49" t="s">
        <v>69</v>
      </c>
    </row>
    <row r="3" spans="1:23" x14ac:dyDescent="0.2">
      <c r="A3" s="50"/>
      <c r="B3" s="45"/>
      <c r="C3" s="51"/>
      <c r="D3" s="36"/>
      <c r="E3" s="51"/>
      <c r="F3" s="36"/>
      <c r="G3" s="51"/>
      <c r="H3" s="36"/>
      <c r="I3" s="36"/>
      <c r="J3" s="36"/>
      <c r="K3" s="36"/>
      <c r="N3" s="50"/>
      <c r="O3" s="45"/>
      <c r="P3" s="52"/>
      <c r="Q3" s="36"/>
      <c r="R3" s="51"/>
      <c r="S3" s="36"/>
      <c r="T3" s="51"/>
    </row>
    <row r="4" spans="1:23" x14ac:dyDescent="0.2">
      <c r="A4" s="53" t="s">
        <v>70</v>
      </c>
      <c r="B4" s="36"/>
      <c r="C4" s="54"/>
      <c r="D4" s="36"/>
      <c r="E4" s="54"/>
      <c r="F4" s="36"/>
      <c r="G4" s="54"/>
      <c r="H4" s="36"/>
      <c r="I4" s="55"/>
      <c r="J4" s="36"/>
      <c r="K4" s="55"/>
      <c r="N4" s="56" t="s">
        <v>71</v>
      </c>
      <c r="O4" s="36"/>
      <c r="P4" s="57"/>
      <c r="Q4" s="36"/>
      <c r="R4" s="55"/>
      <c r="S4" s="36"/>
      <c r="T4" s="55"/>
    </row>
    <row r="5" spans="1:23" x14ac:dyDescent="0.2">
      <c r="A5" s="58" t="s">
        <v>31</v>
      </c>
      <c r="B5" s="36"/>
      <c r="C5" s="55">
        <v>84.491585745430896</v>
      </c>
      <c r="D5" s="59"/>
      <c r="E5" s="55">
        <v>169.28883909767404</v>
      </c>
      <c r="F5" s="59"/>
      <c r="G5" s="55">
        <v>35.9</v>
      </c>
      <c r="H5" s="36"/>
      <c r="I5" s="55">
        <v>236.7</v>
      </c>
      <c r="J5" s="59"/>
      <c r="K5" s="55">
        <v>73.88</v>
      </c>
      <c r="M5" s="54"/>
      <c r="N5" s="60" t="s">
        <v>31</v>
      </c>
      <c r="O5" s="36"/>
      <c r="P5" s="57">
        <v>298.8</v>
      </c>
      <c r="Q5" s="59"/>
      <c r="R5" s="55">
        <v>414.13133601842117</v>
      </c>
      <c r="S5" s="59"/>
      <c r="T5" s="55">
        <f>G5+G14</f>
        <v>259.00953965803171</v>
      </c>
      <c r="V5" s="61"/>
      <c r="W5" s="61"/>
    </row>
    <row r="6" spans="1:23" x14ac:dyDescent="0.2">
      <c r="A6" s="58" t="s">
        <v>72</v>
      </c>
      <c r="B6" s="36"/>
      <c r="C6" s="55">
        <v>614.05944001938281</v>
      </c>
      <c r="D6" s="36"/>
      <c r="E6" s="55">
        <v>607.32115791963145</v>
      </c>
      <c r="F6" s="36"/>
      <c r="G6" s="55">
        <v>544.4</v>
      </c>
      <c r="H6" s="36"/>
      <c r="I6" s="55">
        <v>544.29999999999995</v>
      </c>
      <c r="J6" s="36"/>
      <c r="K6" s="55">
        <v>544.4</v>
      </c>
      <c r="M6" s="54"/>
      <c r="N6" s="60" t="s">
        <v>72</v>
      </c>
      <c r="O6" s="36"/>
      <c r="P6" s="57">
        <v>1844.1</v>
      </c>
      <c r="Q6" s="36"/>
      <c r="R6" s="55">
        <v>1816.6726898058841</v>
      </c>
      <c r="S6" s="36"/>
      <c r="T6" s="55">
        <f>G6+G15</f>
        <v>1673.7384607079498</v>
      </c>
      <c r="V6" s="61"/>
      <c r="W6" s="61"/>
    </row>
    <row r="7" spans="1:23" x14ac:dyDescent="0.2">
      <c r="A7" s="58" t="s">
        <v>73</v>
      </c>
      <c r="B7" s="36"/>
      <c r="C7" s="55">
        <v>190.36646756185675</v>
      </c>
      <c r="D7" s="36"/>
      <c r="E7" s="55">
        <v>189.95435389553705</v>
      </c>
      <c r="F7" s="36"/>
      <c r="G7" s="55">
        <v>188.9</v>
      </c>
      <c r="H7" s="36"/>
      <c r="I7" s="55">
        <v>189.3</v>
      </c>
      <c r="J7" s="36"/>
      <c r="K7" s="55">
        <v>190.4</v>
      </c>
      <c r="M7" s="54"/>
      <c r="N7" s="60" t="s">
        <v>73</v>
      </c>
      <c r="O7" s="36"/>
      <c r="P7" s="57">
        <f>3014.2-11.6</f>
        <v>3002.6</v>
      </c>
      <c r="Q7" s="36"/>
      <c r="R7" s="55">
        <v>2995.0178507444825</v>
      </c>
      <c r="S7" s="36"/>
      <c r="T7" s="55">
        <v>3047</v>
      </c>
      <c r="V7" s="61"/>
      <c r="W7" s="61"/>
    </row>
    <row r="8" spans="1:23" x14ac:dyDescent="0.2">
      <c r="A8" s="58" t="s">
        <v>74</v>
      </c>
      <c r="B8" s="36"/>
      <c r="C8" s="55">
        <v>-73.613316799999993</v>
      </c>
      <c r="D8" s="36"/>
      <c r="E8" s="55">
        <v>-56.466338799999996</v>
      </c>
      <c r="F8" s="36"/>
      <c r="G8" s="55">
        <v>-61.3</v>
      </c>
      <c r="H8" s="36"/>
      <c r="I8" s="55">
        <v>-48.4</v>
      </c>
      <c r="J8" s="36"/>
      <c r="K8" s="55">
        <v>-54.1</v>
      </c>
      <c r="M8" s="54"/>
      <c r="N8" s="60" t="s">
        <v>74</v>
      </c>
      <c r="O8" s="36"/>
      <c r="P8" s="57">
        <f>-4-51.3-13.4-34.6</f>
        <v>-103.30000000000001</v>
      </c>
      <c r="Q8" s="36"/>
      <c r="R8" s="55">
        <v>-106.35178128135061</v>
      </c>
      <c r="S8" s="36"/>
      <c r="T8" s="55">
        <v>-110</v>
      </c>
      <c r="U8" s="61"/>
      <c r="V8" s="61"/>
      <c r="W8" s="61"/>
    </row>
    <row r="9" spans="1:23" x14ac:dyDescent="0.2">
      <c r="A9" s="58" t="s">
        <v>75</v>
      </c>
      <c r="B9" s="36"/>
      <c r="C9" s="55">
        <v>147.63974992525647</v>
      </c>
      <c r="D9" s="36"/>
      <c r="E9" s="55">
        <v>191.32542119755061</v>
      </c>
      <c r="F9" s="36"/>
      <c r="G9" s="55">
        <v>215.2</v>
      </c>
      <c r="H9" s="36"/>
      <c r="I9" s="55">
        <v>-108.2</v>
      </c>
      <c r="J9" s="36"/>
      <c r="K9" s="55">
        <v>-161.19999999999999</v>
      </c>
      <c r="M9" s="54"/>
      <c r="N9" s="60" t="s">
        <v>76</v>
      </c>
      <c r="O9" s="36"/>
      <c r="P9" s="57">
        <f>0+173.9-9.1-190.1-16</f>
        <v>-41.299999999999983</v>
      </c>
      <c r="Q9" s="36"/>
      <c r="R9" s="55">
        <v>-21.868069539058268</v>
      </c>
      <c r="S9" s="36"/>
      <c r="T9" s="55">
        <f>G9+G18-41.5</f>
        <v>32.38116129310697</v>
      </c>
    </row>
    <row r="10" spans="1:23" x14ac:dyDescent="0.2">
      <c r="A10" s="58" t="s">
        <v>77</v>
      </c>
      <c r="B10" s="36"/>
      <c r="C10" s="55">
        <v>63.107103693424008</v>
      </c>
      <c r="D10" s="36"/>
      <c r="E10" s="55">
        <v>63.641816450056517</v>
      </c>
      <c r="F10" s="36"/>
      <c r="G10" s="55">
        <v>-50.8</v>
      </c>
      <c r="H10" s="36"/>
      <c r="I10" s="55">
        <v>-52.75</v>
      </c>
      <c r="J10" s="36"/>
      <c r="K10" s="55">
        <v>-62.64</v>
      </c>
      <c r="M10" s="54"/>
      <c r="N10" s="60" t="s">
        <v>77</v>
      </c>
      <c r="O10" s="36"/>
      <c r="P10" s="57">
        <v>-292.5</v>
      </c>
      <c r="Q10" s="36"/>
      <c r="R10" s="55">
        <v>-153.57034595252827</v>
      </c>
      <c r="S10" s="36"/>
      <c r="T10" s="55">
        <v>-205</v>
      </c>
    </row>
    <row r="11" spans="1:23" x14ac:dyDescent="0.2">
      <c r="A11" s="62" t="s">
        <v>78</v>
      </c>
      <c r="B11" s="36"/>
      <c r="C11" s="63">
        <f>SUM(C5:C10)</f>
        <v>1026.051030145351</v>
      </c>
      <c r="D11" s="36"/>
      <c r="E11" s="63">
        <v>1165.0652497604494</v>
      </c>
      <c r="F11" s="36"/>
      <c r="G11" s="63">
        <f>SUM(G5:G10)</f>
        <v>872.3</v>
      </c>
      <c r="H11" s="36"/>
      <c r="I11" s="63">
        <f>SUM(I5:I10)</f>
        <v>760.94999999999993</v>
      </c>
      <c r="J11" s="36"/>
      <c r="K11" s="63">
        <f>SUM(K5:K10)</f>
        <v>530.7399999999999</v>
      </c>
      <c r="M11" s="54"/>
      <c r="N11" s="56" t="s">
        <v>37</v>
      </c>
      <c r="O11" s="36"/>
      <c r="P11" s="64">
        <f>SUM(P5:P10)</f>
        <v>4708.3999999999996</v>
      </c>
      <c r="Q11" s="65"/>
      <c r="R11" s="66">
        <v>4944.1316797958507</v>
      </c>
      <c r="S11" s="65"/>
      <c r="T11" s="66">
        <f>SUM(T5:T10)</f>
        <v>4697.1291616590888</v>
      </c>
    </row>
    <row r="12" spans="1:23" x14ac:dyDescent="0.2">
      <c r="B12" s="36"/>
      <c r="C12" s="55"/>
      <c r="D12" s="36"/>
      <c r="E12" s="55"/>
      <c r="F12" s="36"/>
      <c r="G12" s="55"/>
      <c r="H12" s="36"/>
      <c r="I12" s="55"/>
      <c r="J12" s="36"/>
      <c r="K12" s="55"/>
      <c r="N12" s="60"/>
      <c r="O12" s="36"/>
      <c r="P12" s="57"/>
      <c r="Q12" s="36"/>
      <c r="R12" s="55"/>
      <c r="S12" s="36"/>
      <c r="T12" s="55"/>
    </row>
    <row r="13" spans="1:23" x14ac:dyDescent="0.2">
      <c r="A13" s="53" t="s">
        <v>79</v>
      </c>
      <c r="B13" s="36"/>
      <c r="C13" s="55"/>
      <c r="D13" s="36"/>
      <c r="E13" s="55"/>
      <c r="F13" s="36"/>
      <c r="G13" s="55"/>
      <c r="H13" s="36"/>
      <c r="I13" s="55"/>
      <c r="J13" s="36"/>
      <c r="K13" s="55"/>
      <c r="N13" s="56" t="s">
        <v>80</v>
      </c>
      <c r="O13" s="67"/>
      <c r="P13" s="68">
        <f>-48.7+108.5+1037.3</f>
        <v>1097.0999999999999</v>
      </c>
      <c r="Q13" s="67"/>
      <c r="R13" s="63">
        <v>1341.9298832270451</v>
      </c>
      <c r="S13" s="67"/>
      <c r="T13" s="63">
        <f>G24+0.2</f>
        <v>1463.7</v>
      </c>
    </row>
    <row r="14" spans="1:23" x14ac:dyDescent="0.2">
      <c r="A14" s="58" t="s">
        <v>31</v>
      </c>
      <c r="B14" s="36"/>
      <c r="C14" s="55">
        <v>237.68421343791928</v>
      </c>
      <c r="D14" s="36"/>
      <c r="E14" s="55">
        <v>244.84249692074712</v>
      </c>
      <c r="F14" s="36"/>
      <c r="G14" s="55">
        <v>223.10953965803171</v>
      </c>
      <c r="H14" s="36"/>
      <c r="I14" s="55">
        <v>311.2</v>
      </c>
      <c r="J14" s="36"/>
      <c r="K14" s="55">
        <v>300</v>
      </c>
      <c r="M14" s="54"/>
      <c r="N14" s="60"/>
      <c r="O14" s="36"/>
      <c r="P14" s="57"/>
      <c r="Q14" s="36"/>
      <c r="R14" s="55"/>
      <c r="S14" s="36"/>
      <c r="T14" s="55"/>
    </row>
    <row r="15" spans="1:23" x14ac:dyDescent="0.2">
      <c r="A15" s="58" t="s">
        <v>72</v>
      </c>
      <c r="B15" s="36"/>
      <c r="C15" s="55">
        <v>1240.6870989266179</v>
      </c>
      <c r="D15" s="36"/>
      <c r="E15" s="55">
        <v>1209.3515318862526</v>
      </c>
      <c r="F15" s="36"/>
      <c r="G15" s="55">
        <f>1173.33846070795-44</f>
        <v>1129.3384607079499</v>
      </c>
      <c r="H15" s="36"/>
      <c r="I15" s="55">
        <v>1385.9</v>
      </c>
      <c r="J15" s="36"/>
      <c r="K15" s="55">
        <v>1149.5</v>
      </c>
      <c r="M15" s="54"/>
      <c r="N15" s="56" t="s">
        <v>81</v>
      </c>
      <c r="O15" s="36"/>
      <c r="P15" s="57"/>
      <c r="Q15" s="36"/>
      <c r="R15" s="55"/>
      <c r="S15" s="36"/>
      <c r="T15" s="55"/>
    </row>
    <row r="16" spans="1:23" x14ac:dyDescent="0.2">
      <c r="A16" s="58" t="s">
        <v>73</v>
      </c>
      <c r="B16" s="36"/>
      <c r="C16" s="55">
        <v>2811.3372456077655</v>
      </c>
      <c r="D16" s="36"/>
      <c r="E16" s="55">
        <v>2805.0634968489453</v>
      </c>
      <c r="F16" s="36"/>
      <c r="G16" s="55">
        <v>2964.1601628041899</v>
      </c>
      <c r="H16" s="36"/>
      <c r="I16" s="55">
        <v>4263.6000000000004</v>
      </c>
      <c r="J16" s="36"/>
      <c r="K16" s="55">
        <v>3665.8</v>
      </c>
      <c r="M16" s="54"/>
      <c r="N16" s="60" t="s">
        <v>82</v>
      </c>
      <c r="O16" s="36"/>
      <c r="P16" s="57">
        <v>3265.9</v>
      </c>
      <c r="Q16" s="36"/>
      <c r="R16" s="55">
        <v>3265.6660158990485</v>
      </c>
      <c r="S16" s="36"/>
      <c r="T16" s="55">
        <v>3217.8</v>
      </c>
    </row>
    <row r="17" spans="1:21" x14ac:dyDescent="0.2">
      <c r="A17" s="58" t="s">
        <v>74</v>
      </c>
      <c r="B17" s="36"/>
      <c r="C17" s="55">
        <v>-45.996520734853959</v>
      </c>
      <c r="D17" s="36"/>
      <c r="E17" s="55">
        <v>-49.885442481350609</v>
      </c>
      <c r="F17" s="36"/>
      <c r="G17" s="55">
        <v>-52.880106033053124</v>
      </c>
      <c r="H17" s="36"/>
      <c r="I17" s="55">
        <v>-54.8</v>
      </c>
      <c r="J17" s="36"/>
      <c r="K17" s="55">
        <v>-56.4</v>
      </c>
      <c r="M17" s="54"/>
      <c r="N17" s="60" t="s">
        <v>83</v>
      </c>
      <c r="O17" s="36"/>
      <c r="P17" s="57">
        <v>336.3</v>
      </c>
      <c r="Q17" s="36"/>
      <c r="R17" s="55">
        <v>337.10509370266061</v>
      </c>
      <c r="S17" s="36"/>
      <c r="T17" s="55">
        <v>2.5</v>
      </c>
    </row>
    <row r="18" spans="1:21" x14ac:dyDescent="0.2">
      <c r="A18" s="58" t="s">
        <v>75</v>
      </c>
      <c r="B18" s="36"/>
      <c r="C18" s="55">
        <v>-182.36925030058316</v>
      </c>
      <c r="D18" s="36"/>
      <c r="E18" s="55">
        <v>-213.19349073660888</v>
      </c>
      <c r="F18" s="36"/>
      <c r="G18" s="55">
        <v>-141.31883870689302</v>
      </c>
      <c r="H18" s="36"/>
      <c r="I18" s="55">
        <v>-30</v>
      </c>
      <c r="J18" s="36"/>
      <c r="K18" s="55">
        <v>-41.6</v>
      </c>
      <c r="M18" s="54"/>
      <c r="N18" s="60" t="s">
        <v>84</v>
      </c>
      <c r="O18" s="36"/>
      <c r="P18" s="57">
        <f>29.2-16</f>
        <v>13.2</v>
      </c>
      <c r="Q18" s="36"/>
      <c r="R18" s="55">
        <v>-0.79321260260997617</v>
      </c>
      <c r="S18" s="36"/>
      <c r="T18" s="55">
        <v>5.2000000000000011</v>
      </c>
    </row>
    <row r="19" spans="1:21" x14ac:dyDescent="0.2">
      <c r="A19" s="58" t="s">
        <v>77</v>
      </c>
      <c r="B19" s="36"/>
      <c r="C19" s="55">
        <v>-371.75762756689551</v>
      </c>
      <c r="D19" s="36"/>
      <c r="E19" s="55">
        <v>-217.2121624025848</v>
      </c>
      <c r="F19" s="36"/>
      <c r="G19" s="55">
        <v>-193.86125620269243</v>
      </c>
      <c r="H19" s="36"/>
      <c r="I19" s="55">
        <v>-301.5</v>
      </c>
      <c r="J19" s="36"/>
      <c r="K19" s="55">
        <v>-370.9</v>
      </c>
      <c r="M19" s="54"/>
      <c r="N19" s="60" t="s">
        <v>85</v>
      </c>
      <c r="O19" s="36"/>
      <c r="P19" s="57">
        <f>5.4-11.6</f>
        <v>-6.1999999999999993</v>
      </c>
      <c r="Q19" s="36"/>
      <c r="R19" s="55">
        <v>-0.63575939470172216</v>
      </c>
      <c r="S19" s="36"/>
      <c r="T19" s="55">
        <v>7.9000000000000057</v>
      </c>
    </row>
    <row r="20" spans="1:21" x14ac:dyDescent="0.2">
      <c r="A20" s="62" t="s">
        <v>78</v>
      </c>
      <c r="B20" s="36"/>
      <c r="C20" s="63">
        <f>SUM(C14:C19)-0.1</f>
        <v>3689.48515936997</v>
      </c>
      <c r="D20" s="36"/>
      <c r="E20" s="63">
        <v>3778.9664300354002</v>
      </c>
      <c r="F20" s="36"/>
      <c r="G20" s="63">
        <f>SUM(G14:G19)</f>
        <v>3928.5479622275329</v>
      </c>
      <c r="H20" s="36"/>
      <c r="I20" s="63">
        <f>SUM(I14:I19)</f>
        <v>5574.4000000000005</v>
      </c>
      <c r="J20" s="36"/>
      <c r="K20" s="63">
        <f>SUM(K14:K19)</f>
        <v>4646.4000000000005</v>
      </c>
      <c r="M20" s="54"/>
      <c r="N20" s="69" t="s">
        <v>86</v>
      </c>
      <c r="O20" s="36"/>
      <c r="P20" s="57">
        <v>2.1</v>
      </c>
      <c r="Q20" s="63"/>
      <c r="R20" s="55">
        <v>0.75965896440807423</v>
      </c>
      <c r="S20" s="63"/>
      <c r="T20" s="55">
        <v>0</v>
      </c>
    </row>
    <row r="21" spans="1:21" x14ac:dyDescent="0.2">
      <c r="A21" s="62"/>
      <c r="B21" s="36"/>
      <c r="C21" s="63"/>
      <c r="D21" s="36"/>
      <c r="E21" s="63"/>
      <c r="F21" s="36"/>
      <c r="G21" s="63"/>
      <c r="H21" s="36"/>
      <c r="I21" s="63"/>
      <c r="J21" s="36"/>
      <c r="K21" s="63"/>
      <c r="M21" s="54"/>
      <c r="N21" s="50" t="s">
        <v>87</v>
      </c>
      <c r="O21" s="36"/>
      <c r="P21" s="64">
        <f>SUM(P16:P20)</f>
        <v>3611.3</v>
      </c>
      <c r="Q21" s="65"/>
      <c r="R21" s="66">
        <v>3602.2017965688055</v>
      </c>
      <c r="S21" s="65"/>
      <c r="T21" s="66">
        <f>SUM(T16:T20)</f>
        <v>3233.4</v>
      </c>
    </row>
    <row r="22" spans="1:21" s="70" customFormat="1" x14ac:dyDescent="0.2">
      <c r="A22" s="53" t="s">
        <v>37</v>
      </c>
      <c r="B22" s="36"/>
      <c r="C22" s="63">
        <f>C20+C11+0.1</f>
        <v>4715.6361895153213</v>
      </c>
      <c r="D22" s="36"/>
      <c r="E22" s="63">
        <v>4944.1316797958498</v>
      </c>
      <c r="F22" s="36"/>
      <c r="G22" s="63">
        <f>G20+G11</f>
        <v>4800.8479622275327</v>
      </c>
      <c r="H22" s="36"/>
      <c r="I22" s="63">
        <f>I20+I11</f>
        <v>6335.35</v>
      </c>
      <c r="J22" s="36"/>
      <c r="K22" s="63">
        <f>K20+K11</f>
        <v>5177.1400000000003</v>
      </c>
      <c r="M22" s="71"/>
      <c r="N22" s="56"/>
      <c r="O22" s="36"/>
      <c r="P22" s="68"/>
      <c r="Q22" s="63"/>
      <c r="R22" s="63"/>
      <c r="S22" s="63"/>
      <c r="T22" s="63"/>
    </row>
    <row r="23" spans="1:21" ht="12" thickBot="1" x14ac:dyDescent="0.25">
      <c r="B23" s="36"/>
      <c r="C23" s="55"/>
      <c r="D23" s="36"/>
      <c r="E23" s="55"/>
      <c r="F23" s="36"/>
      <c r="G23" s="55"/>
      <c r="H23" s="36"/>
      <c r="I23" s="55"/>
      <c r="J23" s="36"/>
      <c r="K23" s="55"/>
      <c r="N23" s="56" t="s">
        <v>88</v>
      </c>
      <c r="O23" s="36"/>
      <c r="P23" s="72">
        <f>P13+P21</f>
        <v>4708.3999999999996</v>
      </c>
      <c r="Q23" s="73"/>
      <c r="R23" s="73">
        <v>4944.1316797958507</v>
      </c>
      <c r="S23" s="73"/>
      <c r="T23" s="73">
        <f>T13+T21</f>
        <v>4697.1000000000004</v>
      </c>
    </row>
    <row r="24" spans="1:21" ht="12" thickTop="1" x14ac:dyDescent="0.2">
      <c r="A24" s="58" t="s">
        <v>89</v>
      </c>
      <c r="B24" s="36"/>
      <c r="C24" s="55">
        <v>1096.2790222875633</v>
      </c>
      <c r="D24" s="36"/>
      <c r="E24" s="55">
        <v>1341.9298832270451</v>
      </c>
      <c r="F24" s="36"/>
      <c r="G24" s="55">
        <v>1463.5</v>
      </c>
      <c r="H24" s="36"/>
      <c r="I24" s="55">
        <v>2105.4</v>
      </c>
      <c r="J24" s="36"/>
      <c r="K24" s="55">
        <v>2030.2</v>
      </c>
      <c r="M24" s="54"/>
      <c r="O24" s="58"/>
      <c r="P24" s="58"/>
      <c r="Q24" s="58"/>
      <c r="R24" s="58"/>
      <c r="S24" s="58"/>
      <c r="T24" s="58"/>
      <c r="U24" s="58"/>
    </row>
    <row r="25" spans="1:21" x14ac:dyDescent="0.2">
      <c r="B25" s="36"/>
      <c r="C25" s="55"/>
      <c r="D25" s="36"/>
      <c r="E25" s="55"/>
      <c r="F25" s="36"/>
      <c r="G25" s="55"/>
      <c r="H25" s="36"/>
      <c r="I25" s="55"/>
      <c r="J25" s="36"/>
      <c r="K25" s="55"/>
      <c r="M25" s="54"/>
      <c r="O25" s="58"/>
      <c r="P25" s="58"/>
      <c r="Q25" s="58"/>
      <c r="R25" s="58"/>
      <c r="S25" s="58"/>
      <c r="T25" s="58"/>
      <c r="U25" s="58"/>
    </row>
    <row r="26" spans="1:21" x14ac:dyDescent="0.2">
      <c r="A26" s="53" t="s">
        <v>81</v>
      </c>
      <c r="B26" s="36"/>
      <c r="C26" s="66">
        <f>C22-C24-0.1</f>
        <v>3619.2571672277581</v>
      </c>
      <c r="D26" s="67"/>
      <c r="E26" s="66">
        <v>3602.2017965688046</v>
      </c>
      <c r="F26" s="67"/>
      <c r="G26" s="66">
        <f>G22-G24</f>
        <v>3337.3479622275327</v>
      </c>
      <c r="H26" s="67"/>
      <c r="I26" s="66">
        <v>4230</v>
      </c>
      <c r="J26" s="67"/>
      <c r="K26" s="66">
        <v>3146.9</v>
      </c>
      <c r="M26" s="54"/>
      <c r="N26" s="53"/>
      <c r="O26" s="58"/>
      <c r="P26" s="61">
        <f>+P11-P13-P21</f>
        <v>0</v>
      </c>
      <c r="Q26" s="58"/>
      <c r="R26" s="58"/>
      <c r="S26" s="58"/>
      <c r="T26" s="58"/>
      <c r="U26" s="58"/>
    </row>
    <row r="27" spans="1:21" s="70" customFormat="1" ht="12" thickBot="1" x14ac:dyDescent="0.25">
      <c r="A27" s="53" t="s">
        <v>88</v>
      </c>
      <c r="B27" s="36"/>
      <c r="C27" s="73">
        <f>C24+C26+0.1</f>
        <v>4715.6361895153223</v>
      </c>
      <c r="D27" s="36"/>
      <c r="E27" s="73">
        <v>4944.1316797958498</v>
      </c>
      <c r="F27" s="36"/>
      <c r="G27" s="73">
        <f>G24+G26</f>
        <v>4800.8479622275327</v>
      </c>
      <c r="H27" s="36"/>
      <c r="I27" s="73">
        <f>I24+I26</f>
        <v>6335.4</v>
      </c>
      <c r="J27" s="36"/>
      <c r="K27" s="73">
        <f>K24+K26</f>
        <v>5177.1000000000004</v>
      </c>
      <c r="M27" s="71"/>
      <c r="N27" s="53"/>
      <c r="O27" s="58"/>
      <c r="P27" s="58"/>
      <c r="Q27" s="58"/>
      <c r="R27" s="58"/>
      <c r="S27" s="58"/>
      <c r="T27" s="58"/>
      <c r="U27" s="58"/>
    </row>
    <row r="28" spans="1:21" ht="12" thickTop="1" x14ac:dyDescent="0.2">
      <c r="O28" s="58"/>
      <c r="P28" s="58"/>
      <c r="Q28" s="58"/>
      <c r="R28" s="58"/>
      <c r="S28" s="58"/>
      <c r="T28" s="58"/>
      <c r="U28" s="58"/>
    </row>
    <row r="30" spans="1:21" x14ac:dyDescent="0.2">
      <c r="I30" s="74" t="s">
        <v>90</v>
      </c>
    </row>
    <row r="31" spans="1:21" x14ac:dyDescent="0.2">
      <c r="I31" s="75" t="s">
        <v>91</v>
      </c>
    </row>
  </sheetData>
  <conditionalFormatting sqref="D5 F5 J5 Q5 S5">
    <cfRule type="expression" dxfId="2" priority="1" stopIfTrue="1">
      <formula>#REF!&gt;0</formula>
    </cfRule>
    <cfRule type="expression" dxfId="1" priority="2" stopIfTrue="1">
      <formula>#REF!&lt;0</formula>
    </cfRule>
  </conditionalFormatting>
  <pageMargins left="0.7" right="0.7" top="0.75" bottom="0.75" header="0.3" footer="0.3"/>
  <pageSetup paperSize="9" orientation="portrait" r:id="rId1"/>
  <customProperties>
    <customPr name="_pios_id" r:id="rId2"/>
  </customProperties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M28"/>
  <sheetViews>
    <sheetView workbookViewId="0"/>
  </sheetViews>
  <sheetFormatPr defaultRowHeight="12.75" x14ac:dyDescent="0.2"/>
  <cols>
    <col min="1" max="1" width="17.5703125" bestFit="1" customWidth="1"/>
    <col min="2" max="12" width="14" bestFit="1" customWidth="1"/>
    <col min="13" max="14" width="15" bestFit="1" customWidth="1"/>
  </cols>
  <sheetData>
    <row r="1" spans="1:13" x14ac:dyDescent="0.2">
      <c r="A1" s="21" t="s">
        <v>92</v>
      </c>
    </row>
    <row r="3" spans="1:13" x14ac:dyDescent="0.2">
      <c r="A3" s="92" t="s">
        <v>93</v>
      </c>
      <c r="B3" s="92" t="s">
        <v>94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</row>
    <row r="4" spans="1:13" x14ac:dyDescent="0.2">
      <c r="A4" s="92" t="s">
        <v>95</v>
      </c>
      <c r="B4" s="76" t="s">
        <v>96</v>
      </c>
      <c r="C4" s="79" t="s">
        <v>97</v>
      </c>
      <c r="D4" s="79" t="s">
        <v>98</v>
      </c>
      <c r="E4" s="79" t="s">
        <v>99</v>
      </c>
      <c r="F4" s="79" t="s">
        <v>100</v>
      </c>
      <c r="G4" s="79" t="s">
        <v>101</v>
      </c>
      <c r="H4" s="79" t="s">
        <v>102</v>
      </c>
      <c r="I4" s="79" t="s">
        <v>103</v>
      </c>
      <c r="J4" s="79" t="s">
        <v>104</v>
      </c>
      <c r="K4" s="79" t="s">
        <v>105</v>
      </c>
      <c r="L4" s="79" t="s">
        <v>106</v>
      </c>
      <c r="M4" s="80" t="s">
        <v>107</v>
      </c>
    </row>
    <row r="5" spans="1:13" x14ac:dyDescent="0.2">
      <c r="A5" s="76" t="s">
        <v>108</v>
      </c>
      <c r="B5" s="81"/>
      <c r="C5" s="82">
        <v>69896.460000000006</v>
      </c>
      <c r="D5" s="82"/>
      <c r="E5" s="82"/>
      <c r="F5" s="82"/>
      <c r="G5" s="82"/>
      <c r="H5" s="82"/>
      <c r="I5" s="82"/>
      <c r="J5" s="82"/>
      <c r="K5" s="82">
        <v>46805.9</v>
      </c>
      <c r="L5" s="82"/>
      <c r="M5" s="83">
        <v>116702.36</v>
      </c>
    </row>
    <row r="6" spans="1:13" x14ac:dyDescent="0.2">
      <c r="A6" s="84" t="s">
        <v>109</v>
      </c>
      <c r="B6" s="85">
        <v>767641.41</v>
      </c>
      <c r="C6" s="86">
        <v>118799</v>
      </c>
      <c r="D6" s="86">
        <v>1423009.79</v>
      </c>
      <c r="E6" s="86">
        <v>6989953.7000000002</v>
      </c>
      <c r="F6" s="86"/>
      <c r="G6" s="86"/>
      <c r="H6" s="86"/>
      <c r="I6" s="86"/>
      <c r="J6" s="86">
        <v>8594598.4900000002</v>
      </c>
      <c r="K6" s="86">
        <v>1028652</v>
      </c>
      <c r="L6" s="86">
        <v>3207816.79</v>
      </c>
      <c r="M6" s="87">
        <v>22130471.18</v>
      </c>
    </row>
    <row r="7" spans="1:13" s="102" customFormat="1" x14ac:dyDescent="0.2">
      <c r="A7" s="98" t="s">
        <v>110</v>
      </c>
      <c r="B7" s="99"/>
      <c r="C7" s="100"/>
      <c r="D7" s="100"/>
      <c r="E7" s="100"/>
      <c r="F7" s="100">
        <v>755566.24</v>
      </c>
      <c r="G7" s="100">
        <v>265803.90000000002</v>
      </c>
      <c r="H7" s="100"/>
      <c r="I7" s="100"/>
      <c r="J7" s="100">
        <v>15978</v>
      </c>
      <c r="K7" s="100">
        <v>4243.91</v>
      </c>
      <c r="L7" s="100"/>
      <c r="M7" s="101">
        <v>1041592.05</v>
      </c>
    </row>
    <row r="8" spans="1:13" x14ac:dyDescent="0.2">
      <c r="A8" s="84" t="s">
        <v>111</v>
      </c>
      <c r="B8" s="85"/>
      <c r="C8" s="86"/>
      <c r="D8" s="86">
        <v>17514.990000000002</v>
      </c>
      <c r="E8" s="86"/>
      <c r="F8" s="86"/>
      <c r="G8" s="86"/>
      <c r="H8" s="86"/>
      <c r="I8" s="86"/>
      <c r="J8" s="86">
        <v>4418587.7</v>
      </c>
      <c r="K8" s="86"/>
      <c r="L8" s="86"/>
      <c r="M8" s="87">
        <v>4436102.6900000004</v>
      </c>
    </row>
    <row r="9" spans="1:13" s="102" customFormat="1" x14ac:dyDescent="0.2">
      <c r="A9" s="98" t="s">
        <v>112</v>
      </c>
      <c r="B9" s="99"/>
      <c r="C9" s="100"/>
      <c r="D9" s="100"/>
      <c r="E9" s="100"/>
      <c r="F9" s="100">
        <v>410817.92</v>
      </c>
      <c r="G9" s="100"/>
      <c r="H9" s="100"/>
      <c r="I9" s="100"/>
      <c r="J9" s="100"/>
      <c r="K9" s="100"/>
      <c r="L9" s="100"/>
      <c r="M9" s="101">
        <v>410817.92</v>
      </c>
    </row>
    <row r="10" spans="1:13" x14ac:dyDescent="0.2">
      <c r="A10" s="84" t="s">
        <v>113</v>
      </c>
      <c r="B10" s="85">
        <v>1685120.03</v>
      </c>
      <c r="C10" s="86"/>
      <c r="D10" s="86"/>
      <c r="E10" s="86"/>
      <c r="F10" s="86"/>
      <c r="G10" s="86"/>
      <c r="H10" s="86"/>
      <c r="I10" s="86"/>
      <c r="J10" s="86">
        <v>226158.04</v>
      </c>
      <c r="K10" s="86"/>
      <c r="L10" s="86"/>
      <c r="M10" s="87">
        <v>1911278.07</v>
      </c>
    </row>
    <row r="11" spans="1:13" x14ac:dyDescent="0.2">
      <c r="A11" s="84" t="s">
        <v>114</v>
      </c>
      <c r="B11" s="85"/>
      <c r="C11" s="86"/>
      <c r="D11" s="86"/>
      <c r="E11" s="86"/>
      <c r="F11" s="86"/>
      <c r="G11" s="86"/>
      <c r="H11" s="86"/>
      <c r="I11" s="86"/>
      <c r="J11" s="86">
        <v>227335</v>
      </c>
      <c r="K11" s="86"/>
      <c r="L11" s="86"/>
      <c r="M11" s="87">
        <v>227335</v>
      </c>
    </row>
    <row r="12" spans="1:13" x14ac:dyDescent="0.2">
      <c r="A12" s="84" t="s">
        <v>115</v>
      </c>
      <c r="B12" s="85">
        <v>1786296.85</v>
      </c>
      <c r="C12" s="86">
        <v>704556</v>
      </c>
      <c r="D12" s="86"/>
      <c r="E12" s="86"/>
      <c r="F12" s="86"/>
      <c r="G12" s="86"/>
      <c r="H12" s="86"/>
      <c r="I12" s="86"/>
      <c r="J12" s="86">
        <v>682704.25</v>
      </c>
      <c r="K12" s="86">
        <v>809663</v>
      </c>
      <c r="L12" s="86"/>
      <c r="M12" s="87">
        <v>3983220.1</v>
      </c>
    </row>
    <row r="13" spans="1:13" x14ac:dyDescent="0.2">
      <c r="A13" s="84" t="s">
        <v>116</v>
      </c>
      <c r="B13" s="85">
        <v>259955.52</v>
      </c>
      <c r="C13" s="86"/>
      <c r="D13" s="86">
        <v>99490.22</v>
      </c>
      <c r="E13" s="86"/>
      <c r="F13" s="86"/>
      <c r="G13" s="86"/>
      <c r="H13" s="86"/>
      <c r="I13" s="86"/>
      <c r="J13" s="86">
        <v>619836.13</v>
      </c>
      <c r="K13" s="86"/>
      <c r="L13" s="86"/>
      <c r="M13" s="87">
        <v>979281.87</v>
      </c>
    </row>
    <row r="14" spans="1:13" x14ac:dyDescent="0.2">
      <c r="A14" s="84" t="s">
        <v>117</v>
      </c>
      <c r="B14" s="85"/>
      <c r="C14" s="86"/>
      <c r="D14" s="86"/>
      <c r="E14" s="86"/>
      <c r="F14" s="86">
        <v>411725.4</v>
      </c>
      <c r="G14" s="86"/>
      <c r="H14" s="86"/>
      <c r="I14" s="86"/>
      <c r="J14" s="86">
        <v>210266.12</v>
      </c>
      <c r="K14" s="86"/>
      <c r="L14" s="86"/>
      <c r="M14" s="87">
        <v>621991.52</v>
      </c>
    </row>
    <row r="15" spans="1:13" s="97" customFormat="1" x14ac:dyDescent="0.2">
      <c r="A15" s="93" t="s">
        <v>118</v>
      </c>
      <c r="B15" s="94"/>
      <c r="C15" s="95">
        <v>758823</v>
      </c>
      <c r="D15" s="95">
        <v>16764.98</v>
      </c>
      <c r="E15" s="95">
        <v>57738694.780000001</v>
      </c>
      <c r="F15" s="95"/>
      <c r="G15" s="95"/>
      <c r="H15" s="95">
        <v>-21733.58</v>
      </c>
      <c r="I15" s="95">
        <v>-30791.759999999998</v>
      </c>
      <c r="J15" s="95">
        <v>13333167.790000001</v>
      </c>
      <c r="K15" s="95"/>
      <c r="L15" s="95">
        <v>213756.17</v>
      </c>
      <c r="M15" s="96">
        <v>72008681.38000001</v>
      </c>
    </row>
    <row r="16" spans="1:13" x14ac:dyDescent="0.2">
      <c r="A16" s="84" t="s">
        <v>119</v>
      </c>
      <c r="B16" s="85">
        <v>-26339.98</v>
      </c>
      <c r="C16" s="86">
        <v>270257.63</v>
      </c>
      <c r="D16" s="86">
        <v>-52216.09</v>
      </c>
      <c r="E16" s="86"/>
      <c r="F16" s="86"/>
      <c r="G16" s="86"/>
      <c r="H16" s="86"/>
      <c r="I16" s="86"/>
      <c r="J16" s="86">
        <v>216274.29</v>
      </c>
      <c r="K16" s="86">
        <v>242877.14</v>
      </c>
      <c r="L16" s="86"/>
      <c r="M16" s="87">
        <v>650852.99</v>
      </c>
    </row>
    <row r="17" spans="1:13" x14ac:dyDescent="0.2">
      <c r="A17" s="88" t="s">
        <v>107</v>
      </c>
      <c r="B17" s="89">
        <v>4472673.83</v>
      </c>
      <c r="C17" s="90">
        <v>1922332.09</v>
      </c>
      <c r="D17" s="90">
        <v>1504563.89</v>
      </c>
      <c r="E17" s="90">
        <v>64728648.480000004</v>
      </c>
      <c r="F17" s="90">
        <v>1578109.56</v>
      </c>
      <c r="G17" s="90">
        <v>265803.90000000002</v>
      </c>
      <c r="H17" s="90">
        <v>-21733.58</v>
      </c>
      <c r="I17" s="90">
        <v>-30791.759999999998</v>
      </c>
      <c r="J17" s="90">
        <v>28544905.810000002</v>
      </c>
      <c r="K17" s="90">
        <v>2132241.9500000002</v>
      </c>
      <c r="L17" s="90">
        <v>3421572.96</v>
      </c>
      <c r="M17" s="91">
        <v>108518327.13000001</v>
      </c>
    </row>
    <row r="19" spans="1:13" x14ac:dyDescent="0.2">
      <c r="B19" t="s">
        <v>120</v>
      </c>
      <c r="D19" t="s">
        <v>120</v>
      </c>
    </row>
    <row r="21" spans="1:13" x14ac:dyDescent="0.2">
      <c r="A21" t="s">
        <v>121</v>
      </c>
      <c r="B21" s="86">
        <f>SUM(C16,C12,C6,C5,E6,F14,L6,K16,K12,K6,K5,J6,J8,J10,J11,J12,J13,J14,J16)</f>
        <v>29096763.039999999</v>
      </c>
    </row>
    <row r="22" spans="1:13" x14ac:dyDescent="0.2">
      <c r="A22" t="s">
        <v>122</v>
      </c>
      <c r="B22" s="86">
        <f>SUM(B16,B13,B12,B10,B6,D6,D8,D13,D16)</f>
        <v>5960472.7400000002</v>
      </c>
    </row>
    <row r="24" spans="1:13" x14ac:dyDescent="0.2">
      <c r="A24" t="s">
        <v>123</v>
      </c>
      <c r="B24" s="86">
        <f>SUM(C15,E15,H15,I15,J15,L15)</f>
        <v>71991916.400000006</v>
      </c>
    </row>
    <row r="25" spans="1:13" x14ac:dyDescent="0.2">
      <c r="A25" t="s">
        <v>124</v>
      </c>
      <c r="B25">
        <f>GETPIVOTDATA("CurrentYear",$A$3,"Group","SCO","Type","Growth")</f>
        <v>16764.98</v>
      </c>
    </row>
    <row r="27" spans="1:13" x14ac:dyDescent="0.2">
      <c r="A27" t="s">
        <v>125</v>
      </c>
      <c r="B27" s="86">
        <f>SUM(F7,F9,G7,J7,K7)</f>
        <v>1452409.97</v>
      </c>
    </row>
    <row r="28" spans="1:13" x14ac:dyDescent="0.2">
      <c r="A28" t="s">
        <v>126</v>
      </c>
      <c r="B28">
        <v>0</v>
      </c>
    </row>
  </sheetData>
  <pageMargins left="0.7" right="0.7" top="0.75" bottom="0.75" header="0.3" footer="0.3"/>
  <pageSetup paperSize="9" orientation="portrait" r:id="rId2"/>
  <customProperties>
    <customPr name="_pios_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2:AE50"/>
  <sheetViews>
    <sheetView zoomScale="90" zoomScaleNormal="90" workbookViewId="0"/>
  </sheetViews>
  <sheetFormatPr defaultRowHeight="12.75" x14ac:dyDescent="0.2"/>
  <cols>
    <col min="1" max="1" width="40.28515625" bestFit="1" customWidth="1"/>
    <col min="2" max="2" width="1.28515625" customWidth="1"/>
    <col min="3" max="3" width="6" bestFit="1" customWidth="1"/>
    <col min="4" max="4" width="2.28515625" customWidth="1"/>
    <col min="5" max="5" width="10" bestFit="1" customWidth="1"/>
    <col min="6" max="6" width="1.5703125" customWidth="1"/>
    <col min="7" max="7" width="6" bestFit="1" customWidth="1"/>
    <col min="8" max="8" width="1.7109375" customWidth="1"/>
    <col min="9" max="9" width="10" bestFit="1" customWidth="1"/>
    <col min="10" max="10" width="2.28515625" customWidth="1"/>
    <col min="11" max="11" width="6" bestFit="1" customWidth="1"/>
    <col min="12" max="12" width="1.5703125" style="103" customWidth="1"/>
    <col min="14" max="14" width="1.28515625" customWidth="1"/>
    <col min="16" max="16" width="1.28515625" customWidth="1"/>
    <col min="18" max="18" width="1.5703125" customWidth="1"/>
    <col min="20" max="20" width="1.28515625" customWidth="1"/>
    <col min="22" max="22" width="1.5703125" style="103" customWidth="1"/>
    <col min="24" max="24" width="2.28515625" customWidth="1"/>
    <col min="26" max="26" width="1.7109375" customWidth="1"/>
    <col min="28" max="28" width="1.7109375" customWidth="1"/>
    <col min="30" max="30" width="2.28515625" customWidth="1"/>
  </cols>
  <sheetData>
    <row r="2" spans="1:31" x14ac:dyDescent="0.2">
      <c r="C2" s="712" t="s">
        <v>127</v>
      </c>
      <c r="D2" s="712"/>
      <c r="E2" s="712"/>
      <c r="F2" s="712"/>
      <c r="G2" s="712"/>
      <c r="H2" s="712"/>
      <c r="I2" s="712"/>
      <c r="J2" s="712"/>
      <c r="K2" s="712"/>
      <c r="M2" s="713" t="s">
        <v>129</v>
      </c>
      <c r="N2" s="712"/>
      <c r="O2" s="712"/>
      <c r="P2" s="712"/>
      <c r="Q2" s="712"/>
      <c r="R2" s="712"/>
      <c r="S2" s="712"/>
      <c r="T2" s="712"/>
      <c r="U2" s="712"/>
      <c r="W2" s="713" t="s">
        <v>128</v>
      </c>
      <c r="X2" s="712"/>
      <c r="Y2" s="712"/>
      <c r="Z2" s="712"/>
      <c r="AA2" s="712"/>
      <c r="AB2" s="712"/>
      <c r="AC2" s="712"/>
      <c r="AD2" s="712"/>
      <c r="AE2" s="712"/>
    </row>
    <row r="3" spans="1:31" x14ac:dyDescent="0.2">
      <c r="A3" s="7"/>
      <c r="B3" s="7"/>
      <c r="C3" s="8" t="s">
        <v>0</v>
      </c>
      <c r="D3" s="7"/>
      <c r="E3" s="22" t="s">
        <v>7</v>
      </c>
      <c r="F3" s="23"/>
      <c r="G3" s="8" t="s">
        <v>0</v>
      </c>
      <c r="H3" s="2"/>
      <c r="I3" s="22" t="s">
        <v>7</v>
      </c>
      <c r="J3" s="23"/>
      <c r="K3" s="3" t="s">
        <v>0</v>
      </c>
      <c r="M3" s="8" t="s">
        <v>0</v>
      </c>
      <c r="N3" s="7"/>
      <c r="O3" s="22" t="s">
        <v>7</v>
      </c>
      <c r="P3" s="23"/>
      <c r="Q3" s="8" t="s">
        <v>0</v>
      </c>
      <c r="R3" s="2"/>
      <c r="S3" s="22" t="s">
        <v>7</v>
      </c>
      <c r="T3" s="23"/>
      <c r="U3" s="3" t="s">
        <v>0</v>
      </c>
      <c r="W3" s="8" t="s">
        <v>0</v>
      </c>
      <c r="X3" s="7"/>
      <c r="Y3" s="22" t="s">
        <v>7</v>
      </c>
      <c r="Z3" s="23"/>
      <c r="AA3" s="8" t="s">
        <v>0</v>
      </c>
      <c r="AB3" s="2"/>
      <c r="AC3" s="22" t="s">
        <v>7</v>
      </c>
      <c r="AD3" s="23"/>
      <c r="AE3" s="3" t="s">
        <v>0</v>
      </c>
    </row>
    <row r="4" spans="1:31" x14ac:dyDescent="0.2">
      <c r="A4" s="7"/>
      <c r="B4" s="7"/>
      <c r="C4" s="6">
        <v>2010</v>
      </c>
      <c r="D4" s="7"/>
      <c r="E4" s="12">
        <v>2009</v>
      </c>
      <c r="F4" s="1"/>
      <c r="G4" s="6">
        <v>2009</v>
      </c>
      <c r="H4" s="4"/>
      <c r="I4" s="12">
        <v>2008</v>
      </c>
      <c r="J4" s="1"/>
      <c r="K4" s="6">
        <v>2008</v>
      </c>
      <c r="M4" s="6">
        <v>2010</v>
      </c>
      <c r="N4" s="7"/>
      <c r="O4" s="12">
        <v>2009</v>
      </c>
      <c r="P4" s="1"/>
      <c r="Q4" s="6">
        <v>2009</v>
      </c>
      <c r="R4" s="4"/>
      <c r="S4" s="12">
        <v>2008</v>
      </c>
      <c r="T4" s="1"/>
      <c r="U4" s="6">
        <v>2008</v>
      </c>
      <c r="W4" s="6">
        <v>2010</v>
      </c>
      <c r="X4" s="7"/>
      <c r="Y4" s="12">
        <v>2009</v>
      </c>
      <c r="Z4" s="1"/>
      <c r="AA4" s="6">
        <v>2009</v>
      </c>
      <c r="AB4" s="4"/>
      <c r="AC4" s="12">
        <v>2008</v>
      </c>
      <c r="AD4" s="1"/>
      <c r="AE4" s="6">
        <v>2008</v>
      </c>
    </row>
    <row r="5" spans="1:31" x14ac:dyDescent="0.2">
      <c r="A5" s="7"/>
      <c r="B5" s="7"/>
      <c r="C5" s="6" t="s">
        <v>8</v>
      </c>
      <c r="D5" s="7"/>
      <c r="E5" s="14" t="s">
        <v>9</v>
      </c>
      <c r="F5" s="1"/>
      <c r="G5" s="6" t="s">
        <v>8</v>
      </c>
      <c r="H5" s="4"/>
      <c r="I5" s="14" t="s">
        <v>9</v>
      </c>
      <c r="J5" s="1"/>
      <c r="K5" s="6" t="s">
        <v>8</v>
      </c>
      <c r="M5" s="6" t="s">
        <v>8</v>
      </c>
      <c r="N5" s="7"/>
      <c r="O5" s="14" t="s">
        <v>9</v>
      </c>
      <c r="P5" s="1"/>
      <c r="Q5" s="6" t="s">
        <v>8</v>
      </c>
      <c r="R5" s="4"/>
      <c r="S5" s="14" t="s">
        <v>9</v>
      </c>
      <c r="T5" s="1"/>
      <c r="U5" s="6" t="s">
        <v>8</v>
      </c>
      <c r="W5" s="6" t="s">
        <v>8</v>
      </c>
      <c r="X5" s="7"/>
      <c r="Y5" s="14" t="s">
        <v>9</v>
      </c>
      <c r="Z5" s="1"/>
      <c r="AA5" s="6" t="s">
        <v>8</v>
      </c>
      <c r="AB5" s="4"/>
      <c r="AC5" s="14" t="s">
        <v>9</v>
      </c>
      <c r="AD5" s="1"/>
      <c r="AE5" s="6" t="s">
        <v>8</v>
      </c>
    </row>
    <row r="6" spans="1:31" x14ac:dyDescent="0.2">
      <c r="A6" s="7"/>
      <c r="B6" s="7"/>
      <c r="C6" s="5" t="s">
        <v>2</v>
      </c>
      <c r="D6" s="7"/>
      <c r="E6" s="15" t="s">
        <v>2</v>
      </c>
      <c r="F6" s="10"/>
      <c r="G6" s="5" t="s">
        <v>2</v>
      </c>
      <c r="H6" s="10"/>
      <c r="I6" s="15" t="s">
        <v>2</v>
      </c>
      <c r="J6" s="10"/>
      <c r="K6" s="5" t="s">
        <v>2</v>
      </c>
      <c r="M6" s="5" t="s">
        <v>2</v>
      </c>
      <c r="N6" s="7"/>
      <c r="O6" s="15" t="s">
        <v>2</v>
      </c>
      <c r="P6" s="10"/>
      <c r="Q6" s="5" t="s">
        <v>2</v>
      </c>
      <c r="R6" s="10"/>
      <c r="S6" s="15" t="s">
        <v>2</v>
      </c>
      <c r="T6" s="10"/>
      <c r="U6" s="5" t="s">
        <v>2</v>
      </c>
      <c r="W6" s="5" t="s">
        <v>2</v>
      </c>
      <c r="X6" s="7"/>
      <c r="Y6" s="15" t="s">
        <v>2</v>
      </c>
      <c r="Z6" s="10"/>
      <c r="AA6" s="5" t="s">
        <v>2</v>
      </c>
      <c r="AB6" s="10"/>
      <c r="AC6" s="15" t="s">
        <v>2</v>
      </c>
      <c r="AD6" s="10"/>
      <c r="AE6" s="5" t="s">
        <v>2</v>
      </c>
    </row>
    <row r="7" spans="1:31" x14ac:dyDescent="0.2">
      <c r="A7" s="24" t="s">
        <v>57</v>
      </c>
      <c r="B7" s="24"/>
      <c r="C7" s="13"/>
      <c r="D7" s="7"/>
      <c r="E7" s="18"/>
      <c r="F7" s="7"/>
      <c r="G7" s="13"/>
      <c r="H7" s="7"/>
      <c r="I7" s="18"/>
      <c r="J7" s="7"/>
      <c r="K7" s="13"/>
      <c r="M7" s="13"/>
      <c r="N7" s="7"/>
      <c r="O7" s="18"/>
      <c r="P7" s="7"/>
      <c r="Q7" s="13"/>
      <c r="R7" s="7"/>
      <c r="S7" s="18"/>
      <c r="T7" s="7"/>
      <c r="U7" s="13"/>
      <c r="W7" s="13"/>
      <c r="X7" s="7"/>
      <c r="Y7" s="18"/>
      <c r="Z7" s="7"/>
      <c r="AA7" s="13"/>
      <c r="AB7" s="7"/>
      <c r="AC7" s="18"/>
      <c r="AD7" s="7"/>
      <c r="AE7" s="13"/>
    </row>
    <row r="8" spans="1:31" x14ac:dyDescent="0.2">
      <c r="A8" s="7" t="s">
        <v>43</v>
      </c>
      <c r="B8" s="7"/>
      <c r="C8" s="107">
        <v>63.8</v>
      </c>
      <c r="D8" s="142"/>
      <c r="E8" s="18">
        <v>121.1</v>
      </c>
      <c r="F8" s="7"/>
      <c r="G8" s="107">
        <v>55.6</v>
      </c>
      <c r="H8" s="7"/>
      <c r="I8" s="18">
        <f>296.5-6-4</f>
        <v>286.5</v>
      </c>
      <c r="J8" s="7"/>
      <c r="K8" s="107">
        <v>102.9</v>
      </c>
      <c r="M8" s="13">
        <v>66.400000000000006</v>
      </c>
      <c r="N8" s="7"/>
      <c r="O8" s="18"/>
      <c r="P8" s="7"/>
      <c r="Q8" s="13">
        <v>55.7</v>
      </c>
      <c r="R8" s="7"/>
      <c r="S8" s="18"/>
      <c r="T8" s="7"/>
      <c r="U8" s="13"/>
      <c r="W8" s="13">
        <f>C8-M8</f>
        <v>-2.6000000000000085</v>
      </c>
      <c r="X8" s="7"/>
      <c r="Y8" s="18"/>
      <c r="Z8" s="7"/>
      <c r="AA8" s="13">
        <f>G8-Q8</f>
        <v>-0.10000000000000142</v>
      </c>
      <c r="AB8" s="7"/>
      <c r="AC8" s="18"/>
      <c r="AD8" s="7"/>
      <c r="AE8" s="13"/>
    </row>
    <row r="9" spans="1:31" x14ac:dyDescent="0.2">
      <c r="A9" s="7" t="s">
        <v>44</v>
      </c>
      <c r="B9" s="7"/>
      <c r="C9" s="107">
        <v>79.400000000000006</v>
      </c>
      <c r="D9" s="142"/>
      <c r="E9" s="18">
        <v>195.8</v>
      </c>
      <c r="F9" s="7"/>
      <c r="G9" s="107">
        <v>101.5</v>
      </c>
      <c r="H9" s="7"/>
      <c r="I9" s="18">
        <f>705.9-13.8-20.3</f>
        <v>671.80000000000007</v>
      </c>
      <c r="J9" s="7"/>
      <c r="K9" s="107">
        <v>243.9</v>
      </c>
      <c r="M9" s="13">
        <v>78.7</v>
      </c>
      <c r="N9" s="7"/>
      <c r="O9" s="18"/>
      <c r="P9" s="7"/>
      <c r="Q9" s="13">
        <v>101.5</v>
      </c>
      <c r="R9" s="7"/>
      <c r="S9" s="18"/>
      <c r="T9" s="7"/>
      <c r="U9" s="13"/>
      <c r="W9" s="13">
        <f t="shared" ref="W9:W10" si="0">C9-M9</f>
        <v>0.70000000000000284</v>
      </c>
      <c r="X9" s="7"/>
      <c r="Y9" s="18"/>
      <c r="Z9" s="7"/>
      <c r="AA9" s="13">
        <f t="shared" ref="AA9:AA10" si="1">G9-Q9</f>
        <v>0</v>
      </c>
      <c r="AB9" s="7"/>
      <c r="AC9" s="18"/>
      <c r="AD9" s="7"/>
      <c r="AE9" s="13"/>
    </row>
    <row r="10" spans="1:31" x14ac:dyDescent="0.2">
      <c r="A10" s="7" t="s">
        <v>45</v>
      </c>
      <c r="B10" s="7"/>
      <c r="C10" s="107">
        <v>-18.399999999999999</v>
      </c>
      <c r="D10" s="142"/>
      <c r="E10" s="18">
        <v>24.3</v>
      </c>
      <c r="F10" s="7"/>
      <c r="G10" s="107">
        <f>6.6+11.6</f>
        <v>18.2</v>
      </c>
      <c r="H10" s="7"/>
      <c r="I10" s="18">
        <f>-10.2-0.1</f>
        <v>-10.299999999999999</v>
      </c>
      <c r="J10" s="7"/>
      <c r="K10" s="107">
        <v>-59.5</v>
      </c>
      <c r="M10" s="13">
        <v>-27.3</v>
      </c>
      <c r="N10" s="7"/>
      <c r="O10" s="18"/>
      <c r="P10" s="7"/>
      <c r="Q10" s="13">
        <v>6.2</v>
      </c>
      <c r="R10" s="7"/>
      <c r="S10" s="18"/>
      <c r="T10" s="7"/>
      <c r="U10" s="13"/>
      <c r="W10" s="13">
        <f t="shared" si="0"/>
        <v>8.9000000000000021</v>
      </c>
      <c r="X10" s="7"/>
      <c r="Y10" s="18"/>
      <c r="Z10" s="7"/>
      <c r="AA10" s="13">
        <f t="shared" si="1"/>
        <v>12</v>
      </c>
      <c r="AB10" s="7"/>
      <c r="AC10" s="18"/>
      <c r="AD10" s="7"/>
      <c r="AE10" s="13"/>
    </row>
    <row r="11" spans="1:31" x14ac:dyDescent="0.2">
      <c r="A11" s="20" t="s">
        <v>13</v>
      </c>
      <c r="B11" s="20"/>
      <c r="C11" s="108">
        <f>SUM(C8:C10)</f>
        <v>124.79999999999998</v>
      </c>
      <c r="D11" s="108"/>
      <c r="E11" s="25">
        <f>SUM(E8:E10)</f>
        <v>341.2</v>
      </c>
      <c r="F11" s="26"/>
      <c r="G11" s="108">
        <f>SUM(G8:G10)</f>
        <v>175.29999999999998</v>
      </c>
      <c r="H11" s="26">
        <v>0</v>
      </c>
      <c r="I11" s="25">
        <f>SUM(I8:I10)</f>
        <v>948.00000000000011</v>
      </c>
      <c r="J11" s="26">
        <v>0</v>
      </c>
      <c r="K11" s="108">
        <f>SUM(K8:K10)</f>
        <v>287.3</v>
      </c>
      <c r="M11" s="26">
        <f>SUM(M8:M10)</f>
        <v>117.80000000000003</v>
      </c>
      <c r="N11" s="26"/>
      <c r="O11" s="25">
        <v>318.3</v>
      </c>
      <c r="P11" s="26"/>
      <c r="Q11" s="26">
        <f>SUM(Q8:Q10)</f>
        <v>163.39999999999998</v>
      </c>
      <c r="R11" s="26">
        <v>0</v>
      </c>
      <c r="S11" s="25">
        <v>916.1</v>
      </c>
      <c r="T11" s="26">
        <v>0</v>
      </c>
      <c r="U11" s="26">
        <v>269</v>
      </c>
      <c r="W11" s="26">
        <f>C11-M11</f>
        <v>6.9999999999999574</v>
      </c>
      <c r="X11" s="26">
        <f t="shared" ref="X11:AE11" si="2">D11-N11</f>
        <v>0</v>
      </c>
      <c r="Y11" s="25">
        <f t="shared" si="2"/>
        <v>22.899999999999977</v>
      </c>
      <c r="Z11" s="26">
        <f t="shared" si="2"/>
        <v>0</v>
      </c>
      <c r="AA11" s="26">
        <f t="shared" si="2"/>
        <v>11.900000000000006</v>
      </c>
      <c r="AB11" s="26">
        <f t="shared" si="2"/>
        <v>0</v>
      </c>
      <c r="AC11" s="25">
        <f t="shared" si="2"/>
        <v>31.900000000000091</v>
      </c>
      <c r="AD11" s="26">
        <f t="shared" si="2"/>
        <v>0</v>
      </c>
      <c r="AE11" s="26">
        <f t="shared" si="2"/>
        <v>18.300000000000011</v>
      </c>
    </row>
    <row r="12" spans="1:31" x14ac:dyDescent="0.2">
      <c r="A12" s="20"/>
      <c r="B12" s="20"/>
      <c r="C12" s="107"/>
      <c r="D12" s="107"/>
      <c r="E12" s="18"/>
      <c r="F12" s="13"/>
      <c r="G12" s="107"/>
      <c r="H12" s="13"/>
      <c r="I12" s="18"/>
      <c r="J12" s="13"/>
      <c r="K12" s="107"/>
      <c r="M12" s="13"/>
      <c r="N12" s="13"/>
      <c r="O12" s="18"/>
      <c r="P12" s="13"/>
      <c r="Q12" s="13"/>
      <c r="R12" s="13"/>
      <c r="S12" s="18"/>
      <c r="T12" s="13"/>
      <c r="U12" s="13"/>
      <c r="W12" s="13"/>
      <c r="X12" s="13"/>
      <c r="Y12" s="18"/>
      <c r="Z12" s="13"/>
      <c r="AA12" s="13"/>
      <c r="AB12" s="13"/>
      <c r="AC12" s="18"/>
      <c r="AD12" s="13"/>
      <c r="AE12" s="13"/>
    </row>
    <row r="13" spans="1:31" x14ac:dyDescent="0.2">
      <c r="A13" s="7" t="s">
        <v>46</v>
      </c>
      <c r="B13" s="7"/>
      <c r="C13" s="107">
        <v>91.8</v>
      </c>
      <c r="D13" s="142"/>
      <c r="E13" s="18">
        <v>297.39999999999998</v>
      </c>
      <c r="F13" s="7"/>
      <c r="G13" s="107">
        <v>147.4</v>
      </c>
      <c r="H13" s="7"/>
      <c r="I13" s="18">
        <f>86.1622113099762-1.6</f>
        <v>84.562211309976206</v>
      </c>
      <c r="J13" s="7"/>
      <c r="K13" s="107">
        <v>0</v>
      </c>
      <c r="M13" s="13">
        <v>91.8</v>
      </c>
      <c r="N13" s="7"/>
      <c r="O13" s="18"/>
      <c r="P13" s="7"/>
      <c r="Q13" s="13">
        <v>147.4</v>
      </c>
      <c r="R13" s="7"/>
      <c r="S13" s="18"/>
      <c r="T13" s="7"/>
      <c r="U13" s="13"/>
      <c r="W13" s="13">
        <f>C13-M13</f>
        <v>0</v>
      </c>
      <c r="X13" s="7"/>
      <c r="Y13" s="18"/>
      <c r="Z13" s="7"/>
      <c r="AA13" s="13">
        <f>G13-Q13</f>
        <v>0</v>
      </c>
      <c r="AB13" s="7"/>
      <c r="AC13" s="18"/>
      <c r="AD13" s="7"/>
      <c r="AE13" s="13"/>
    </row>
    <row r="14" spans="1:31" x14ac:dyDescent="0.2">
      <c r="A14" s="7" t="s">
        <v>47</v>
      </c>
      <c r="B14" s="7"/>
      <c r="C14" s="107">
        <v>85</v>
      </c>
      <c r="D14" s="142"/>
      <c r="E14" s="18">
        <v>135.6</v>
      </c>
      <c r="F14" s="7"/>
      <c r="G14" s="107">
        <v>61.7</v>
      </c>
      <c r="H14" s="7"/>
      <c r="I14" s="18">
        <v>21.377283018651148</v>
      </c>
      <c r="J14" s="7"/>
      <c r="K14" s="107">
        <v>0</v>
      </c>
      <c r="M14" s="13">
        <v>85</v>
      </c>
      <c r="N14" s="7"/>
      <c r="O14" s="18"/>
      <c r="P14" s="7"/>
      <c r="Q14" s="13">
        <v>61.7</v>
      </c>
      <c r="R14" s="7"/>
      <c r="S14" s="18"/>
      <c r="T14" s="7"/>
      <c r="U14" s="13"/>
      <c r="W14" s="13">
        <f t="shared" ref="W14:W15" si="3">C14-M14</f>
        <v>0</v>
      </c>
      <c r="X14" s="7"/>
      <c r="Y14" s="27"/>
      <c r="Z14" s="7"/>
      <c r="AA14" s="13">
        <f t="shared" ref="AA14:AA15" si="4">G14-Q14</f>
        <v>0</v>
      </c>
      <c r="AB14" s="7"/>
      <c r="AC14" s="27"/>
      <c r="AD14" s="7"/>
      <c r="AE14" s="13"/>
    </row>
    <row r="15" spans="1:31" x14ac:dyDescent="0.2">
      <c r="A15" s="7" t="s">
        <v>48</v>
      </c>
      <c r="B15" s="7"/>
      <c r="C15" s="107">
        <v>2</v>
      </c>
      <c r="D15" s="142"/>
      <c r="E15" s="18">
        <v>-3.8</v>
      </c>
      <c r="F15" s="7"/>
      <c r="G15" s="107">
        <v>-12.2</v>
      </c>
      <c r="H15" s="7"/>
      <c r="I15" s="18">
        <v>3.5073577024342395</v>
      </c>
      <c r="J15" s="7"/>
      <c r="K15" s="107">
        <v>0</v>
      </c>
      <c r="M15" s="13">
        <v>2</v>
      </c>
      <c r="N15" s="7"/>
      <c r="O15" s="18"/>
      <c r="P15" s="7"/>
      <c r="Q15" s="13">
        <v>-12.2</v>
      </c>
      <c r="R15" s="7"/>
      <c r="S15" s="18"/>
      <c r="T15" s="7"/>
      <c r="U15" s="13"/>
      <c r="W15" s="13">
        <f t="shared" si="3"/>
        <v>0</v>
      </c>
      <c r="X15" s="7"/>
      <c r="Y15" s="27"/>
      <c r="Z15" s="7"/>
      <c r="AA15" s="13">
        <f t="shared" si="4"/>
        <v>0</v>
      </c>
      <c r="AB15" s="7"/>
      <c r="AC15" s="27"/>
      <c r="AD15" s="7"/>
      <c r="AE15" s="13"/>
    </row>
    <row r="16" spans="1:31" x14ac:dyDescent="0.2">
      <c r="A16" s="20" t="s">
        <v>49</v>
      </c>
      <c r="B16" s="20"/>
      <c r="C16" s="108">
        <f>SUM(C13:C15)</f>
        <v>178.8</v>
      </c>
      <c r="D16" s="108">
        <v>0</v>
      </c>
      <c r="E16" s="25">
        <f>SUM(E13:E15)</f>
        <v>429.2</v>
      </c>
      <c r="F16" s="26">
        <v>0</v>
      </c>
      <c r="G16" s="108">
        <f>SUM(G13:G15)</f>
        <v>196.90000000000003</v>
      </c>
      <c r="H16" s="26">
        <v>0</v>
      </c>
      <c r="I16" s="25">
        <f>SUM(I13:I15)+0.1</f>
        <v>109.54685203106158</v>
      </c>
      <c r="J16" s="26">
        <v>0</v>
      </c>
      <c r="K16" s="108">
        <f>SUM(K13:K15)</f>
        <v>0</v>
      </c>
      <c r="M16" s="26">
        <f>SUM(M13:M15)</f>
        <v>178.8</v>
      </c>
      <c r="N16" s="26">
        <v>0</v>
      </c>
      <c r="O16" s="25">
        <v>424.7</v>
      </c>
      <c r="P16" s="26">
        <v>0</v>
      </c>
      <c r="Q16" s="26">
        <f>SUM(Q13:Q15)</f>
        <v>196.90000000000003</v>
      </c>
      <c r="R16" s="26">
        <v>0</v>
      </c>
      <c r="S16" s="25">
        <v>109.5</v>
      </c>
      <c r="T16" s="26">
        <v>0</v>
      </c>
      <c r="U16" s="26">
        <f>SUM(U13:U15)</f>
        <v>0</v>
      </c>
      <c r="W16" s="26">
        <f>C16-M16</f>
        <v>0</v>
      </c>
      <c r="X16" s="26">
        <f t="shared" ref="X16" si="5">D16-N16</f>
        <v>0</v>
      </c>
      <c r="Y16" s="31">
        <f t="shared" ref="Y16" si="6">E16-O16</f>
        <v>4.5</v>
      </c>
      <c r="Z16" s="26">
        <f t="shared" ref="Z16" si="7">F16-P16</f>
        <v>0</v>
      </c>
      <c r="AA16" s="26">
        <f t="shared" ref="AA16" si="8">G16-Q16</f>
        <v>0</v>
      </c>
      <c r="AB16" s="26">
        <f t="shared" ref="AB16" si="9">H16-R16</f>
        <v>0</v>
      </c>
      <c r="AC16" s="31">
        <f t="shared" ref="AC16" si="10">I16-S16</f>
        <v>4.6852031061575872E-2</v>
      </c>
      <c r="AD16" s="26">
        <f t="shared" ref="AD16" si="11">J16-T16</f>
        <v>0</v>
      </c>
      <c r="AE16" s="26">
        <f t="shared" ref="AE16" si="12">K16-U16</f>
        <v>0</v>
      </c>
    </row>
    <row r="17" spans="1:31" x14ac:dyDescent="0.2">
      <c r="A17" s="20"/>
      <c r="B17" s="20"/>
      <c r="C17" s="107"/>
      <c r="D17" s="107"/>
      <c r="E17" s="18"/>
      <c r="F17" s="13"/>
      <c r="G17" s="107"/>
      <c r="H17" s="13"/>
      <c r="I17" s="18"/>
      <c r="J17" s="13"/>
      <c r="K17" s="107"/>
      <c r="M17" s="13"/>
      <c r="N17" s="13"/>
      <c r="O17" s="18"/>
      <c r="P17" s="13"/>
      <c r="Q17" s="13"/>
      <c r="R17" s="13"/>
      <c r="S17" s="18"/>
      <c r="T17" s="13"/>
      <c r="U17" s="13"/>
      <c r="W17" s="13"/>
      <c r="X17" s="13"/>
      <c r="Y17" s="27"/>
      <c r="Z17" s="13"/>
      <c r="AA17" s="13"/>
      <c r="AB17" s="13"/>
      <c r="AC17" s="27"/>
      <c r="AD17" s="13"/>
      <c r="AE17" s="13"/>
    </row>
    <row r="18" spans="1:31" x14ac:dyDescent="0.2">
      <c r="A18" s="20" t="s">
        <v>28</v>
      </c>
      <c r="B18" s="20"/>
      <c r="C18" s="107">
        <v>-7</v>
      </c>
      <c r="D18" s="107"/>
      <c r="E18" s="18">
        <v>-27.4</v>
      </c>
      <c r="F18" s="13"/>
      <c r="G18" s="107">
        <f>-0.3-11.6</f>
        <v>-11.9</v>
      </c>
      <c r="H18" s="13"/>
      <c r="I18" s="18">
        <f>-77.63+13.8+20.3+6+4+1.6</f>
        <v>-31.93</v>
      </c>
      <c r="J18" s="7"/>
      <c r="K18" s="107">
        <v>-18.299999999999997</v>
      </c>
      <c r="M18" s="13">
        <v>0</v>
      </c>
      <c r="N18" s="13"/>
      <c r="O18" s="18">
        <v>0</v>
      </c>
      <c r="P18" s="13"/>
      <c r="Q18" s="13">
        <v>0</v>
      </c>
      <c r="R18" s="13"/>
      <c r="S18" s="18">
        <v>0</v>
      </c>
      <c r="T18" s="7"/>
      <c r="U18" s="13"/>
      <c r="W18" s="26">
        <f>C18-M18</f>
        <v>-7</v>
      </c>
      <c r="X18" s="26">
        <f t="shared" ref="X18" si="13">D18-N18</f>
        <v>0</v>
      </c>
      <c r="Y18" s="31">
        <f t="shared" ref="Y18" si="14">E18-O18</f>
        <v>-27.4</v>
      </c>
      <c r="Z18" s="26">
        <f t="shared" ref="Z18" si="15">F18-P18</f>
        <v>0</v>
      </c>
      <c r="AA18" s="26">
        <f t="shared" ref="AA18" si="16">G18-Q18</f>
        <v>-11.9</v>
      </c>
      <c r="AB18" s="26">
        <f t="shared" ref="AB18" si="17">H18-R18</f>
        <v>0</v>
      </c>
      <c r="AC18" s="31">
        <f t="shared" ref="AC18" si="18">I18-S18</f>
        <v>-31.93</v>
      </c>
      <c r="AD18" s="26">
        <f t="shared" ref="AD18" si="19">J18-T18</f>
        <v>0</v>
      </c>
      <c r="AE18" s="26">
        <f t="shared" ref="AE18" si="20">K18-U18</f>
        <v>-18.299999999999997</v>
      </c>
    </row>
    <row r="19" spans="1:31" x14ac:dyDescent="0.2">
      <c r="A19" s="20"/>
      <c r="B19" s="20"/>
      <c r="C19" s="109"/>
      <c r="D19" s="142"/>
      <c r="E19" s="19"/>
      <c r="F19" s="7"/>
      <c r="G19" s="109"/>
      <c r="H19" s="7"/>
      <c r="I19" s="19"/>
      <c r="J19" s="7"/>
      <c r="K19" s="109"/>
      <c r="M19" s="17"/>
      <c r="N19" s="7"/>
      <c r="O19" s="19"/>
      <c r="P19" s="7"/>
      <c r="Q19" s="17"/>
      <c r="R19" s="7"/>
      <c r="S19" s="19"/>
      <c r="T19" s="7"/>
      <c r="U19" s="17"/>
      <c r="W19" s="17"/>
      <c r="X19" s="7"/>
      <c r="Y19" s="32"/>
      <c r="Z19" s="7"/>
      <c r="AA19" s="17"/>
      <c r="AB19" s="7"/>
      <c r="AC19" s="32"/>
      <c r="AD19" s="7"/>
      <c r="AE19" s="17"/>
    </row>
    <row r="20" spans="1:31" x14ac:dyDescent="0.2">
      <c r="A20" s="7" t="s">
        <v>58</v>
      </c>
      <c r="B20" s="7"/>
      <c r="C20" s="108">
        <f>SUM(C18,C16,C11)</f>
        <v>296.60000000000002</v>
      </c>
      <c r="D20" s="108"/>
      <c r="E20" s="31">
        <f>SUM(E18,E16,E11)</f>
        <v>743</v>
      </c>
      <c r="F20" s="26"/>
      <c r="G20" s="108">
        <f>SUM(G18,G16,G11)</f>
        <v>360.3</v>
      </c>
      <c r="H20" s="26"/>
      <c r="I20" s="31">
        <f>SUM(I18,I16,I11)</f>
        <v>1025.6168520310616</v>
      </c>
      <c r="J20" s="26"/>
      <c r="K20" s="108">
        <f>SUM(K18,K16,K11)</f>
        <v>269</v>
      </c>
      <c r="M20" s="26">
        <f>SUM(M18,M16,M11)</f>
        <v>296.60000000000002</v>
      </c>
      <c r="N20" s="26"/>
      <c r="O20" s="31">
        <f>SUM(O18,O16,O11)</f>
        <v>743</v>
      </c>
      <c r="P20" s="26"/>
      <c r="Q20" s="26">
        <f>SUM(Q18,Q16,Q11)</f>
        <v>360.3</v>
      </c>
      <c r="R20" s="26"/>
      <c r="S20" s="31">
        <f>SUM(S18,S16,S11)</f>
        <v>1025.5999999999999</v>
      </c>
      <c r="T20" s="26"/>
      <c r="U20" s="26">
        <v>269</v>
      </c>
      <c r="W20" s="26">
        <f>SUM(W18,W16,W11)</f>
        <v>-4.2632564145606011E-14</v>
      </c>
      <c r="X20" s="26"/>
      <c r="Y20" s="31">
        <f>SUM(Y18,Y16,Y11)</f>
        <v>0</v>
      </c>
      <c r="Z20" s="26"/>
      <c r="AA20" s="26">
        <f>SUM(AA18,AA16,AA11)</f>
        <v>0</v>
      </c>
      <c r="AB20" s="26"/>
      <c r="AC20" s="31">
        <f>SUM(AC18,AC16,AC11)</f>
        <v>1.6852031061667105E-2</v>
      </c>
      <c r="AD20" s="26"/>
      <c r="AE20" s="26">
        <f>SUM(AE18,AE16,AE11)</f>
        <v>0</v>
      </c>
    </row>
    <row r="21" spans="1:31" x14ac:dyDescent="0.2">
      <c r="A21" s="7"/>
      <c r="B21" s="7"/>
      <c r="C21" s="107"/>
      <c r="D21" s="107"/>
      <c r="E21" s="27"/>
      <c r="F21" s="13"/>
      <c r="G21" s="107"/>
      <c r="H21" s="13"/>
      <c r="I21" s="27"/>
      <c r="J21" s="13"/>
      <c r="K21" s="107"/>
      <c r="M21" s="13"/>
      <c r="N21" s="13"/>
      <c r="O21" s="27"/>
      <c r="P21" s="13"/>
      <c r="Q21" s="13"/>
      <c r="R21" s="13"/>
      <c r="S21" s="27"/>
      <c r="T21" s="13"/>
      <c r="U21" s="13"/>
      <c r="W21" s="13"/>
      <c r="X21" s="13"/>
      <c r="Y21" s="27"/>
      <c r="Z21" s="13"/>
      <c r="AA21" s="13"/>
      <c r="AB21" s="13"/>
      <c r="AC21" s="27"/>
      <c r="AD21" s="13"/>
      <c r="AE21" s="13"/>
    </row>
    <row r="22" spans="1:31" x14ac:dyDescent="0.2">
      <c r="A22" s="24" t="s">
        <v>59</v>
      </c>
      <c r="B22" s="24"/>
      <c r="C22" s="107"/>
      <c r="D22" s="142"/>
      <c r="E22" s="18"/>
      <c r="F22" s="7"/>
      <c r="G22" s="107"/>
      <c r="H22" s="7"/>
      <c r="I22" s="18"/>
      <c r="J22" s="7"/>
      <c r="K22" s="107"/>
      <c r="M22" s="13"/>
      <c r="N22" s="7"/>
      <c r="O22" s="18"/>
      <c r="P22" s="7"/>
      <c r="Q22" s="13"/>
      <c r="R22" s="7"/>
      <c r="S22" s="18"/>
      <c r="T22" s="7"/>
      <c r="U22" s="13"/>
      <c r="W22" s="13"/>
      <c r="X22" s="7"/>
      <c r="Y22" s="27"/>
      <c r="Z22" s="7"/>
      <c r="AA22" s="13"/>
      <c r="AB22" s="7"/>
      <c r="AC22" s="27"/>
      <c r="AD22" s="7"/>
      <c r="AE22" s="13"/>
    </row>
    <row r="23" spans="1:31" x14ac:dyDescent="0.2">
      <c r="A23" s="7" t="s">
        <v>43</v>
      </c>
      <c r="B23" s="7"/>
      <c r="C23" s="107">
        <v>14.899999999999999</v>
      </c>
      <c r="D23" s="142"/>
      <c r="E23" s="18">
        <v>27.099999999999994</v>
      </c>
      <c r="F23" s="7"/>
      <c r="G23" s="107">
        <v>12.899999999999999</v>
      </c>
      <c r="H23" s="7"/>
      <c r="I23" s="18">
        <v>28.399999999999977</v>
      </c>
      <c r="J23" s="7"/>
      <c r="K23" s="107">
        <v>14</v>
      </c>
      <c r="M23" s="13">
        <v>14.9</v>
      </c>
      <c r="N23" s="7"/>
      <c r="O23" s="18"/>
      <c r="P23" s="7"/>
      <c r="Q23" s="13">
        <v>8.6999999999999993</v>
      </c>
      <c r="R23" s="7"/>
      <c r="S23" s="18"/>
      <c r="T23" s="7"/>
      <c r="U23" s="13"/>
      <c r="W23" s="13">
        <f t="shared" ref="W23:W25" si="21">C23-M23</f>
        <v>0</v>
      </c>
      <c r="X23" s="7"/>
      <c r="Y23" s="27"/>
      <c r="Z23" s="7"/>
      <c r="AA23" s="13">
        <f t="shared" ref="AA23:AA25" si="22">G23-Q23</f>
        <v>4.1999999999999993</v>
      </c>
      <c r="AB23" s="7"/>
      <c r="AC23" s="27"/>
      <c r="AD23" s="7"/>
      <c r="AE23" s="13"/>
    </row>
    <row r="24" spans="1:31" x14ac:dyDescent="0.2">
      <c r="A24" s="7" t="s">
        <v>44</v>
      </c>
      <c r="B24" s="7"/>
      <c r="C24" s="107">
        <v>4.9000000000000057</v>
      </c>
      <c r="D24" s="142"/>
      <c r="E24" s="18">
        <v>12.5</v>
      </c>
      <c r="F24" s="7"/>
      <c r="G24" s="107">
        <v>6</v>
      </c>
      <c r="H24" s="7"/>
      <c r="I24" s="18">
        <v>9.5</v>
      </c>
      <c r="J24" s="7"/>
      <c r="K24" s="107">
        <v>3.9000000000000057</v>
      </c>
      <c r="M24" s="13">
        <v>4.9000000000000004</v>
      </c>
      <c r="N24" s="7"/>
      <c r="O24" s="18"/>
      <c r="P24" s="7"/>
      <c r="Q24" s="13">
        <v>6</v>
      </c>
      <c r="R24" s="7"/>
      <c r="S24" s="18"/>
      <c r="T24" s="7"/>
      <c r="U24" s="13"/>
      <c r="W24" s="13">
        <f t="shared" si="21"/>
        <v>0</v>
      </c>
      <c r="X24" s="7"/>
      <c r="Y24" s="27"/>
      <c r="Z24" s="7"/>
      <c r="AA24" s="13">
        <f t="shared" si="22"/>
        <v>0</v>
      </c>
      <c r="AB24" s="7"/>
      <c r="AC24" s="27"/>
      <c r="AD24" s="7"/>
      <c r="AE24" s="13"/>
    </row>
    <row r="25" spans="1:31" x14ac:dyDescent="0.2">
      <c r="A25" s="7" t="s">
        <v>45</v>
      </c>
      <c r="B25" s="7"/>
      <c r="C25" s="107">
        <v>0</v>
      </c>
      <c r="D25" s="142"/>
      <c r="E25" s="18">
        <v>0</v>
      </c>
      <c r="F25" s="7"/>
      <c r="G25" s="107">
        <v>0</v>
      </c>
      <c r="H25" s="7"/>
      <c r="I25" s="18">
        <v>0</v>
      </c>
      <c r="J25" s="7"/>
      <c r="K25" s="107">
        <v>0</v>
      </c>
      <c r="M25" s="13">
        <v>1.1000000000000001</v>
      </c>
      <c r="N25" s="7"/>
      <c r="O25" s="18"/>
      <c r="P25" s="7"/>
      <c r="Q25" s="13">
        <v>5.4</v>
      </c>
      <c r="R25" s="7"/>
      <c r="S25" s="18"/>
      <c r="T25" s="7"/>
      <c r="U25" s="13"/>
      <c r="W25" s="13">
        <f t="shared" si="21"/>
        <v>-1.1000000000000001</v>
      </c>
      <c r="X25" s="7"/>
      <c r="Y25" s="27"/>
      <c r="Z25" s="7"/>
      <c r="AA25" s="13">
        <f t="shared" si="22"/>
        <v>-5.4</v>
      </c>
      <c r="AB25" s="7"/>
      <c r="AC25" s="27"/>
      <c r="AD25" s="7"/>
      <c r="AE25" s="13"/>
    </row>
    <row r="26" spans="1:31" x14ac:dyDescent="0.2">
      <c r="A26" s="20" t="s">
        <v>13</v>
      </c>
      <c r="B26" s="20"/>
      <c r="C26" s="108">
        <f>SUM(C23:C24)</f>
        <v>19.800000000000004</v>
      </c>
      <c r="D26" s="108">
        <v>0</v>
      </c>
      <c r="E26" s="25">
        <f>SUM(E23:E24)</f>
        <v>39.599999999999994</v>
      </c>
      <c r="F26" s="26">
        <v>0</v>
      </c>
      <c r="G26" s="108">
        <f>SUM(G23:G24)</f>
        <v>18.899999999999999</v>
      </c>
      <c r="H26" s="26">
        <v>0</v>
      </c>
      <c r="I26" s="25">
        <f>SUM(I23:I24)</f>
        <v>37.899999999999977</v>
      </c>
      <c r="J26" s="26">
        <v>0</v>
      </c>
      <c r="K26" s="108">
        <f>SUM(K23:K24)</f>
        <v>17.900000000000006</v>
      </c>
      <c r="M26" s="26">
        <f>SUM(M23:M25)</f>
        <v>20.900000000000002</v>
      </c>
      <c r="N26" s="26">
        <v>0</v>
      </c>
      <c r="O26" s="25">
        <v>41.9</v>
      </c>
      <c r="P26" s="26">
        <v>0</v>
      </c>
      <c r="Q26" s="26">
        <f>SUM(Q23:Q24)</f>
        <v>14.7</v>
      </c>
      <c r="R26" s="26">
        <v>0</v>
      </c>
      <c r="S26" s="25">
        <v>40.299999999999997</v>
      </c>
      <c r="T26" s="26">
        <v>0</v>
      </c>
      <c r="U26" s="26">
        <v>19</v>
      </c>
      <c r="W26" s="26">
        <f>SUM(W23:W25)</f>
        <v>-1.1000000000000001</v>
      </c>
      <c r="X26" s="26">
        <v>0</v>
      </c>
      <c r="Y26" s="31">
        <f>E26-O26</f>
        <v>-2.3000000000000043</v>
      </c>
      <c r="Z26" s="26">
        <v>0</v>
      </c>
      <c r="AA26" s="26">
        <f>SUM(AA23:AA25)</f>
        <v>-1.2000000000000011</v>
      </c>
      <c r="AB26" s="26">
        <v>0</v>
      </c>
      <c r="AC26" s="31">
        <f>I26-S26</f>
        <v>-2.4000000000000199</v>
      </c>
      <c r="AD26" s="26">
        <v>0</v>
      </c>
      <c r="AE26" s="26">
        <f>K26-U26</f>
        <v>-1.0999999999999943</v>
      </c>
    </row>
    <row r="27" spans="1:31" x14ac:dyDescent="0.2">
      <c r="A27" s="20"/>
      <c r="B27" s="20"/>
      <c r="C27" s="107"/>
      <c r="D27" s="107"/>
      <c r="E27" s="18"/>
      <c r="F27" s="13"/>
      <c r="G27" s="107"/>
      <c r="H27" s="13"/>
      <c r="I27" s="18"/>
      <c r="J27" s="13"/>
      <c r="K27" s="107"/>
      <c r="M27" s="13"/>
      <c r="N27" s="13"/>
      <c r="O27" s="18"/>
      <c r="P27" s="13"/>
      <c r="Q27" s="13"/>
      <c r="R27" s="13"/>
      <c r="S27" s="18"/>
      <c r="T27" s="13"/>
      <c r="U27" s="13"/>
      <c r="W27" s="13"/>
      <c r="X27" s="13"/>
      <c r="Y27" s="27"/>
      <c r="Z27" s="13"/>
      <c r="AA27" s="13"/>
      <c r="AB27" s="13"/>
      <c r="AC27" s="27"/>
      <c r="AD27" s="13"/>
      <c r="AE27" s="13"/>
    </row>
    <row r="28" spans="1:31" x14ac:dyDescent="0.2">
      <c r="A28" s="7" t="s">
        <v>46</v>
      </c>
      <c r="B28" s="7"/>
      <c r="C28" s="107">
        <v>35.799999999999997</v>
      </c>
      <c r="D28" s="142"/>
      <c r="E28" s="18">
        <v>99.7</v>
      </c>
      <c r="F28" s="7"/>
      <c r="G28" s="107">
        <v>52.800000000000011</v>
      </c>
      <c r="H28" s="7"/>
      <c r="I28" s="18">
        <f>24.0357723313465-1.6</f>
        <v>22.435772331346499</v>
      </c>
      <c r="J28" s="7"/>
      <c r="K28" s="107">
        <v>0</v>
      </c>
      <c r="M28" s="13">
        <v>35.799999999999997</v>
      </c>
      <c r="N28" s="7"/>
      <c r="O28" s="18"/>
      <c r="P28" s="7"/>
      <c r="Q28" s="13">
        <v>52.8</v>
      </c>
      <c r="R28" s="7"/>
      <c r="S28" s="18"/>
      <c r="T28" s="7"/>
      <c r="U28" s="13"/>
      <c r="W28" s="13">
        <f t="shared" ref="W28:W30" si="23">C28-M28</f>
        <v>0</v>
      </c>
      <c r="X28" s="7"/>
      <c r="Y28" s="27"/>
      <c r="Z28" s="7"/>
      <c r="AA28" s="13">
        <f t="shared" ref="AA28:AA30" si="24">G28-Q28</f>
        <v>0</v>
      </c>
      <c r="AB28" s="7"/>
      <c r="AC28" s="27"/>
      <c r="AD28" s="7"/>
      <c r="AE28" s="13"/>
    </row>
    <row r="29" spans="1:31" x14ac:dyDescent="0.2">
      <c r="A29" s="7" t="s">
        <v>47</v>
      </c>
      <c r="B29" s="7"/>
      <c r="C29" s="107">
        <v>9.7999999999999972</v>
      </c>
      <c r="D29" s="142"/>
      <c r="E29" s="18">
        <v>25.8</v>
      </c>
      <c r="F29" s="7"/>
      <c r="G29" s="107">
        <v>15.200000000000003</v>
      </c>
      <c r="H29" s="7"/>
      <c r="I29" s="18">
        <v>7.0980416123736845</v>
      </c>
      <c r="J29" s="7"/>
      <c r="K29" s="107">
        <v>0</v>
      </c>
      <c r="M29" s="13">
        <v>9.8000000000000007</v>
      </c>
      <c r="N29" s="7"/>
      <c r="O29" s="18"/>
      <c r="P29" s="7"/>
      <c r="Q29" s="13">
        <v>15.2</v>
      </c>
      <c r="R29" s="7"/>
      <c r="S29" s="18"/>
      <c r="T29" s="7"/>
      <c r="U29" s="13"/>
      <c r="W29" s="13">
        <f t="shared" si="23"/>
        <v>0</v>
      </c>
      <c r="X29" s="7"/>
      <c r="Y29" s="27"/>
      <c r="Z29" s="7"/>
      <c r="AA29" s="13">
        <f t="shared" si="24"/>
        <v>0</v>
      </c>
      <c r="AB29" s="7"/>
      <c r="AC29" s="27"/>
      <c r="AD29" s="7"/>
      <c r="AE29" s="13"/>
    </row>
    <row r="30" spans="1:31" x14ac:dyDescent="0.2">
      <c r="A30" s="7" t="s">
        <v>48</v>
      </c>
      <c r="B30" s="7"/>
      <c r="C30" s="107">
        <v>0</v>
      </c>
      <c r="D30" s="142"/>
      <c r="E30" s="18">
        <v>0</v>
      </c>
      <c r="F30" s="7"/>
      <c r="G30" s="107">
        <v>0</v>
      </c>
      <c r="H30" s="7"/>
      <c r="I30" s="18">
        <v>0.44628549758540581</v>
      </c>
      <c r="J30" s="7"/>
      <c r="K30" s="107">
        <v>0</v>
      </c>
      <c r="M30" s="13">
        <v>0</v>
      </c>
      <c r="N30" s="7"/>
      <c r="O30" s="18"/>
      <c r="P30" s="7"/>
      <c r="Q30" s="13">
        <v>0</v>
      </c>
      <c r="R30" s="7"/>
      <c r="S30" s="18"/>
      <c r="T30" s="7"/>
      <c r="U30" s="13"/>
      <c r="W30" s="13">
        <f t="shared" si="23"/>
        <v>0</v>
      </c>
      <c r="X30" s="7"/>
      <c r="Y30" s="27"/>
      <c r="Z30" s="7"/>
      <c r="AA30" s="13">
        <f t="shared" si="24"/>
        <v>0</v>
      </c>
      <c r="AB30" s="7"/>
      <c r="AC30" s="27"/>
      <c r="AD30" s="7"/>
      <c r="AE30" s="13"/>
    </row>
    <row r="31" spans="1:31" x14ac:dyDescent="0.2">
      <c r="A31" s="20" t="s">
        <v>49</v>
      </c>
      <c r="B31" s="20"/>
      <c r="C31" s="108">
        <f>SUM(C28:C30)</f>
        <v>45.599999999999994</v>
      </c>
      <c r="D31" s="108">
        <v>0</v>
      </c>
      <c r="E31" s="25">
        <f>SUM(E28:E30)</f>
        <v>125.5</v>
      </c>
      <c r="F31" s="26">
        <v>0</v>
      </c>
      <c r="G31" s="108">
        <f>SUM(G28:G30)</f>
        <v>68.000000000000014</v>
      </c>
      <c r="H31" s="26">
        <v>0</v>
      </c>
      <c r="I31" s="25">
        <f>SUM(I28:I30)</f>
        <v>29.98009944130559</v>
      </c>
      <c r="J31" s="26">
        <v>0</v>
      </c>
      <c r="K31" s="108">
        <f>SUM(K28:K30)</f>
        <v>0</v>
      </c>
      <c r="M31" s="26">
        <f>SUM(M28:M30)</f>
        <v>45.599999999999994</v>
      </c>
      <c r="N31" s="26">
        <v>0</v>
      </c>
      <c r="O31" s="25">
        <v>125.4</v>
      </c>
      <c r="P31" s="26">
        <v>0</v>
      </c>
      <c r="Q31" s="26">
        <f>SUM(Q28:Q30)</f>
        <v>68</v>
      </c>
      <c r="R31" s="26">
        <v>0</v>
      </c>
      <c r="S31" s="25">
        <v>30</v>
      </c>
      <c r="T31" s="26">
        <v>0</v>
      </c>
      <c r="U31" s="26">
        <f>SUM(U28:U30)</f>
        <v>0</v>
      </c>
      <c r="W31" s="26">
        <f>SUM(W28:W30)</f>
        <v>0</v>
      </c>
      <c r="X31" s="26">
        <v>0</v>
      </c>
      <c r="Y31" s="31">
        <f>E31-O31</f>
        <v>9.9999999999994316E-2</v>
      </c>
      <c r="Z31" s="26">
        <v>0</v>
      </c>
      <c r="AA31" s="26">
        <f>SUM(AA28:AA30)</f>
        <v>0</v>
      </c>
      <c r="AB31" s="26">
        <v>0</v>
      </c>
      <c r="AC31" s="31">
        <f>I31-S31</f>
        <v>-1.9900558694409654E-2</v>
      </c>
      <c r="AD31" s="26">
        <v>0</v>
      </c>
      <c r="AE31" s="26">
        <f>K31-U31</f>
        <v>0</v>
      </c>
    </row>
    <row r="32" spans="1:31" x14ac:dyDescent="0.2">
      <c r="A32" s="20"/>
      <c r="B32" s="20"/>
      <c r="C32" s="107"/>
      <c r="D32" s="107"/>
      <c r="E32" s="18"/>
      <c r="F32" s="13"/>
      <c r="G32" s="107"/>
      <c r="H32" s="13"/>
      <c r="I32" s="18"/>
      <c r="J32" s="13"/>
      <c r="K32" s="107"/>
      <c r="M32" s="13"/>
      <c r="N32" s="13"/>
      <c r="O32" s="18"/>
      <c r="P32" s="13"/>
      <c r="Q32" s="13"/>
      <c r="R32" s="13"/>
      <c r="S32" s="18"/>
      <c r="T32" s="13"/>
      <c r="U32" s="13"/>
      <c r="W32" s="13"/>
      <c r="X32" s="13"/>
      <c r="Y32" s="27"/>
      <c r="Z32" s="13"/>
      <c r="AA32" s="13"/>
      <c r="AB32" s="13"/>
      <c r="AC32" s="27"/>
      <c r="AD32" s="13"/>
      <c r="AE32" s="13"/>
    </row>
    <row r="33" spans="1:31" x14ac:dyDescent="0.2">
      <c r="A33" s="20" t="s">
        <v>28</v>
      </c>
      <c r="B33" s="20"/>
      <c r="C33" s="107">
        <v>1.0999999999999996</v>
      </c>
      <c r="D33" s="107"/>
      <c r="E33" s="18">
        <v>2.2000000000000002</v>
      </c>
      <c r="F33" s="13"/>
      <c r="G33" s="107">
        <v>1.2</v>
      </c>
      <c r="H33" s="13"/>
      <c r="I33" s="18">
        <f>0.800000000000011+1.6</f>
        <v>2.400000000000011</v>
      </c>
      <c r="J33" s="7"/>
      <c r="K33" s="107">
        <v>1.1000000000000014</v>
      </c>
      <c r="M33" s="13">
        <v>0</v>
      </c>
      <c r="N33" s="13"/>
      <c r="O33" s="18">
        <v>0</v>
      </c>
      <c r="P33" s="13"/>
      <c r="Q33" s="13">
        <v>0</v>
      </c>
      <c r="R33" s="13"/>
      <c r="S33" s="18">
        <v>0</v>
      </c>
      <c r="T33" s="7"/>
      <c r="U33" s="13"/>
      <c r="W33" s="13">
        <f t="shared" ref="W33:Y33" si="25">C33-M33</f>
        <v>1.0999999999999996</v>
      </c>
      <c r="X33" s="13"/>
      <c r="Y33" s="27">
        <f t="shared" si="25"/>
        <v>2.2000000000000002</v>
      </c>
      <c r="Z33" s="13"/>
      <c r="AA33" s="13">
        <f t="shared" ref="AA33" si="26">G33-Q33</f>
        <v>1.2</v>
      </c>
      <c r="AB33" s="13"/>
      <c r="AC33" s="27">
        <f t="shared" ref="AC33" si="27">I33-S33</f>
        <v>2.400000000000011</v>
      </c>
      <c r="AD33" s="7"/>
      <c r="AE33" s="13">
        <f t="shared" ref="AE33" si="28">K33-U33</f>
        <v>1.1000000000000014</v>
      </c>
    </row>
    <row r="34" spans="1:31" x14ac:dyDescent="0.2">
      <c r="A34" s="20"/>
      <c r="B34" s="20"/>
      <c r="C34" s="109"/>
      <c r="D34" s="142"/>
      <c r="E34" s="19"/>
      <c r="F34" s="7"/>
      <c r="G34" s="109"/>
      <c r="H34" s="7"/>
      <c r="I34" s="19"/>
      <c r="J34" s="7"/>
      <c r="K34" s="109"/>
      <c r="M34" s="17"/>
      <c r="N34" s="7"/>
      <c r="O34" s="19"/>
      <c r="P34" s="7"/>
      <c r="Q34" s="17"/>
      <c r="R34" s="7"/>
      <c r="S34" s="19"/>
      <c r="T34" s="7"/>
      <c r="U34" s="17"/>
      <c r="W34" s="17"/>
      <c r="X34" s="7"/>
      <c r="Y34" s="32"/>
      <c r="Z34" s="7"/>
      <c r="AA34" s="17"/>
      <c r="AB34" s="7"/>
      <c r="AC34" s="32"/>
      <c r="AD34" s="7"/>
      <c r="AE34" s="17"/>
    </row>
    <row r="35" spans="1:31" x14ac:dyDescent="0.2">
      <c r="A35" s="7" t="s">
        <v>60</v>
      </c>
      <c r="B35" s="7"/>
      <c r="C35" s="108">
        <f>SUM(C33,C31,C26)</f>
        <v>66.5</v>
      </c>
      <c r="D35" s="108"/>
      <c r="E35" s="31">
        <f>SUM(E33,E31,E26)</f>
        <v>167.3</v>
      </c>
      <c r="F35" s="26"/>
      <c r="G35" s="108">
        <f>SUM(G33,G31,G26)</f>
        <v>88.100000000000023</v>
      </c>
      <c r="H35" s="26"/>
      <c r="I35" s="31">
        <f>SUM(I33,I31,I26)</f>
        <v>70.28009944130558</v>
      </c>
      <c r="J35" s="26"/>
      <c r="K35" s="108">
        <f>SUM(K33,K31,K26)</f>
        <v>19.000000000000007</v>
      </c>
      <c r="M35" s="26">
        <f>SUM(M33,M31,M26)</f>
        <v>66.5</v>
      </c>
      <c r="N35" s="26"/>
      <c r="O35" s="31">
        <f>SUM(O33,O31,O26)</f>
        <v>167.3</v>
      </c>
      <c r="P35" s="26"/>
      <c r="Q35" s="26">
        <f>SUM(Q33,Q31,Q26)</f>
        <v>82.7</v>
      </c>
      <c r="R35" s="26"/>
      <c r="S35" s="31">
        <f>SUM(S33,S31,S26)</f>
        <v>70.3</v>
      </c>
      <c r="T35" s="26"/>
      <c r="U35" s="26">
        <v>19</v>
      </c>
      <c r="W35" s="26">
        <f>SUM(W33,W31,W26)</f>
        <v>0</v>
      </c>
      <c r="X35" s="26"/>
      <c r="Y35" s="31">
        <f>SUM(Y33,Y31,Y26)</f>
        <v>-9.7699626167013776E-15</v>
      </c>
      <c r="Z35" s="26"/>
      <c r="AA35" s="26">
        <f>SUM(AA33,AA31,AA26)</f>
        <v>0</v>
      </c>
      <c r="AB35" s="26"/>
      <c r="AC35" s="31">
        <f>SUM(AC33,AC31,AC26)</f>
        <v>-1.9900558694418535E-2</v>
      </c>
      <c r="AD35" s="26"/>
      <c r="AE35" s="26">
        <f>SUM(AE33,AE31,AE26)</f>
        <v>7.1054273576010019E-15</v>
      </c>
    </row>
    <row r="36" spans="1:31" x14ac:dyDescent="0.2">
      <c r="A36" s="7"/>
      <c r="B36" s="7"/>
      <c r="C36" s="107"/>
      <c r="D36" s="107"/>
      <c r="E36" s="27"/>
      <c r="F36" s="13"/>
      <c r="G36" s="107"/>
      <c r="H36" s="13"/>
      <c r="I36" s="27"/>
      <c r="J36" s="13"/>
      <c r="K36" s="107"/>
      <c r="M36" s="13"/>
      <c r="N36" s="13"/>
      <c r="O36" s="27"/>
      <c r="P36" s="13"/>
      <c r="Q36" s="13"/>
      <c r="R36" s="13"/>
      <c r="S36" s="27"/>
      <c r="T36" s="13"/>
      <c r="U36" s="13"/>
      <c r="W36" s="13"/>
      <c r="X36" s="13"/>
      <c r="Y36" s="27"/>
      <c r="Z36" s="13"/>
      <c r="AA36" s="13"/>
      <c r="AB36" s="13"/>
      <c r="AC36" s="27"/>
      <c r="AD36" s="13"/>
      <c r="AE36" s="13"/>
    </row>
    <row r="37" spans="1:31" x14ac:dyDescent="0.2">
      <c r="A37" s="24" t="s">
        <v>51</v>
      </c>
      <c r="B37" s="24"/>
      <c r="C37" s="107"/>
      <c r="D37" s="142"/>
      <c r="E37" s="18"/>
      <c r="F37" s="7"/>
      <c r="G37" s="107"/>
      <c r="H37" s="7"/>
      <c r="I37" s="18"/>
      <c r="J37" s="7"/>
      <c r="K37" s="107"/>
      <c r="M37" s="13"/>
      <c r="N37" s="7"/>
      <c r="O37" s="18"/>
      <c r="P37" s="7"/>
      <c r="Q37" s="13"/>
      <c r="R37" s="7"/>
      <c r="S37" s="18"/>
      <c r="T37" s="7"/>
      <c r="U37" s="13"/>
      <c r="W37" s="13"/>
      <c r="X37" s="7"/>
      <c r="Y37" s="27"/>
      <c r="Z37" s="7"/>
      <c r="AA37" s="13"/>
      <c r="AB37" s="7"/>
      <c r="AC37" s="27"/>
      <c r="AD37" s="7"/>
      <c r="AE37" s="13"/>
    </row>
    <row r="38" spans="1:31" x14ac:dyDescent="0.2">
      <c r="A38" s="7" t="s">
        <v>43</v>
      </c>
      <c r="B38" s="7"/>
      <c r="C38" s="107">
        <v>48.9</v>
      </c>
      <c r="D38" s="142"/>
      <c r="E38" s="18">
        <v>94</v>
      </c>
      <c r="F38" s="7"/>
      <c r="G38" s="107">
        <v>42.7</v>
      </c>
      <c r="H38" s="7"/>
      <c r="I38" s="18">
        <f>268.1-6-4</f>
        <v>258.10000000000002</v>
      </c>
      <c r="J38" s="7"/>
      <c r="K38" s="107">
        <v>88.9</v>
      </c>
      <c r="M38" s="13">
        <v>51.5</v>
      </c>
      <c r="N38" s="7"/>
      <c r="O38" s="18">
        <v>90.1</v>
      </c>
      <c r="P38" s="7"/>
      <c r="Q38" s="13">
        <v>47</v>
      </c>
      <c r="R38" s="7"/>
      <c r="S38" s="18">
        <v>302.60000000000002</v>
      </c>
      <c r="T38" s="7"/>
      <c r="U38" s="13"/>
      <c r="W38" s="13">
        <f t="shared" ref="W38:Y40" si="29">C38-M38</f>
        <v>-2.6000000000000014</v>
      </c>
      <c r="X38" s="7"/>
      <c r="Y38" s="27">
        <f t="shared" si="29"/>
        <v>3.9000000000000057</v>
      </c>
      <c r="Z38" s="7"/>
      <c r="AA38" s="13">
        <f t="shared" ref="AA38:AA40" si="30">G38-Q38</f>
        <v>-4.2999999999999972</v>
      </c>
      <c r="AB38" s="7"/>
      <c r="AC38" s="27">
        <f t="shared" ref="AC38:AC40" si="31">I38-S38</f>
        <v>-44.5</v>
      </c>
      <c r="AD38" s="7"/>
      <c r="AE38" s="104"/>
    </row>
    <row r="39" spans="1:31" x14ac:dyDescent="0.2">
      <c r="A39" s="7" t="s">
        <v>44</v>
      </c>
      <c r="B39" s="7"/>
      <c r="C39" s="107">
        <v>74.5</v>
      </c>
      <c r="D39" s="142"/>
      <c r="E39" s="18">
        <v>183.3</v>
      </c>
      <c r="F39" s="7"/>
      <c r="G39" s="107">
        <v>95.5</v>
      </c>
      <c r="H39" s="7"/>
      <c r="I39" s="18">
        <f>696.4-13.8-20.3</f>
        <v>662.30000000000007</v>
      </c>
      <c r="J39" s="7"/>
      <c r="K39" s="107">
        <v>240</v>
      </c>
      <c r="M39" s="13">
        <v>73.8</v>
      </c>
      <c r="N39" s="7"/>
      <c r="O39" s="18">
        <v>186.3</v>
      </c>
      <c r="P39" s="7"/>
      <c r="Q39" s="13">
        <v>95.5</v>
      </c>
      <c r="R39" s="7"/>
      <c r="S39" s="18">
        <v>573.20000000000005</v>
      </c>
      <c r="T39" s="7"/>
      <c r="U39" s="13"/>
      <c r="W39" s="13">
        <f t="shared" si="29"/>
        <v>0.70000000000000284</v>
      </c>
      <c r="X39" s="7"/>
      <c r="Y39" s="27">
        <f t="shared" si="29"/>
        <v>-3</v>
      </c>
      <c r="Z39" s="7"/>
      <c r="AA39" s="13">
        <f t="shared" si="30"/>
        <v>0</v>
      </c>
      <c r="AB39" s="7"/>
      <c r="AC39" s="27">
        <f t="shared" si="31"/>
        <v>89.100000000000023</v>
      </c>
      <c r="AD39" s="7"/>
      <c r="AE39" s="104"/>
    </row>
    <row r="40" spans="1:31" x14ac:dyDescent="0.2">
      <c r="A40" s="7" t="s">
        <v>45</v>
      </c>
      <c r="B40" s="7"/>
      <c r="C40" s="107">
        <v>-18.399999999999999</v>
      </c>
      <c r="D40" s="142"/>
      <c r="E40" s="18">
        <v>24.3</v>
      </c>
      <c r="F40" s="7"/>
      <c r="G40" s="107">
        <f>6.6+11.6</f>
        <v>18.2</v>
      </c>
      <c r="H40" s="7"/>
      <c r="I40" s="18">
        <v>-10.199999999999999</v>
      </c>
      <c r="J40" s="7"/>
      <c r="K40" s="107">
        <v>-59.5</v>
      </c>
      <c r="M40" s="13">
        <v>-28.4</v>
      </c>
      <c r="N40" s="7"/>
      <c r="O40" s="18">
        <v>0</v>
      </c>
      <c r="P40" s="7"/>
      <c r="Q40" s="13">
        <v>0.8</v>
      </c>
      <c r="R40" s="7"/>
      <c r="S40" s="18">
        <v>0</v>
      </c>
      <c r="T40" s="7"/>
      <c r="U40" s="13"/>
      <c r="W40" s="13">
        <f t="shared" si="29"/>
        <v>10</v>
      </c>
      <c r="X40" s="7"/>
      <c r="Y40" s="27">
        <f t="shared" si="29"/>
        <v>24.3</v>
      </c>
      <c r="Z40" s="7"/>
      <c r="AA40" s="13">
        <f t="shared" si="30"/>
        <v>17.399999999999999</v>
      </c>
      <c r="AB40" s="7"/>
      <c r="AC40" s="27">
        <f t="shared" si="31"/>
        <v>-10.199999999999999</v>
      </c>
      <c r="AD40" s="7"/>
      <c r="AE40" s="104"/>
    </row>
    <row r="41" spans="1:31" x14ac:dyDescent="0.2">
      <c r="A41" s="20" t="s">
        <v>13</v>
      </c>
      <c r="B41" s="20"/>
      <c r="C41" s="108">
        <f>SUM(C38:C40)</f>
        <v>105</v>
      </c>
      <c r="D41" s="108"/>
      <c r="E41" s="25">
        <f>SUM(E38:E40)</f>
        <v>301.60000000000002</v>
      </c>
      <c r="F41" s="26"/>
      <c r="G41" s="108">
        <f>SUM(G38:G40)</f>
        <v>156.39999999999998</v>
      </c>
      <c r="H41" s="26"/>
      <c r="I41" s="25">
        <f>SUM(I38:I40)</f>
        <v>910.2</v>
      </c>
      <c r="J41" s="26"/>
      <c r="K41" s="108">
        <f>SUM(K38:K40)</f>
        <v>269.39999999999998</v>
      </c>
      <c r="M41" s="26">
        <f>SUM(M38:M40)</f>
        <v>96.9</v>
      </c>
      <c r="N41" s="26"/>
      <c r="O41" s="25">
        <f>SUM(O38:O40)</f>
        <v>276.39999999999998</v>
      </c>
      <c r="P41" s="26"/>
      <c r="Q41" s="26">
        <f>SUM(Q38:Q40)</f>
        <v>143.30000000000001</v>
      </c>
      <c r="R41" s="26"/>
      <c r="S41" s="25">
        <f>SUM(S38:S40)</f>
        <v>875.80000000000007</v>
      </c>
      <c r="T41" s="26"/>
      <c r="U41" s="26">
        <v>250</v>
      </c>
      <c r="W41" s="26">
        <f>SUM(W38:W40)</f>
        <v>8.1000000000000014</v>
      </c>
      <c r="X41" s="26"/>
      <c r="Y41" s="31">
        <f>SUM(Y38:Y40)</f>
        <v>25.200000000000006</v>
      </c>
      <c r="Z41" s="26"/>
      <c r="AA41" s="26">
        <f>SUM(AA38:AA40)</f>
        <v>13.100000000000001</v>
      </c>
      <c r="AB41" s="26"/>
      <c r="AC41" s="31">
        <f>SUM(AC38:AC40)</f>
        <v>34.40000000000002</v>
      </c>
      <c r="AD41" s="26"/>
      <c r="AE41" s="26">
        <f>K41-U41</f>
        <v>19.399999999999977</v>
      </c>
    </row>
    <row r="42" spans="1:31" x14ac:dyDescent="0.2">
      <c r="A42" s="20"/>
      <c r="B42" s="20"/>
      <c r="C42" s="107"/>
      <c r="D42" s="107"/>
      <c r="E42" s="18"/>
      <c r="F42" s="13"/>
      <c r="G42" s="107"/>
      <c r="H42" s="13"/>
      <c r="I42" s="18"/>
      <c r="J42" s="13"/>
      <c r="K42" s="107"/>
      <c r="M42" s="13"/>
      <c r="N42" s="13"/>
      <c r="O42" s="18"/>
      <c r="P42" s="13"/>
      <c r="Q42" s="13"/>
      <c r="R42" s="13"/>
      <c r="S42" s="18"/>
      <c r="T42" s="13"/>
      <c r="U42" s="13"/>
      <c r="W42" s="13"/>
      <c r="X42" s="13"/>
      <c r="Y42" s="27"/>
      <c r="Z42" s="13"/>
      <c r="AA42" s="13"/>
      <c r="AB42" s="13"/>
      <c r="AC42" s="27"/>
      <c r="AD42" s="13"/>
      <c r="AE42" s="13"/>
    </row>
    <row r="43" spans="1:31" x14ac:dyDescent="0.2">
      <c r="A43" s="7" t="s">
        <v>46</v>
      </c>
      <c r="B43" s="7"/>
      <c r="C43" s="107">
        <v>56</v>
      </c>
      <c r="D43" s="142"/>
      <c r="E43" s="18">
        <v>197.7</v>
      </c>
      <c r="F43" s="7"/>
      <c r="G43" s="107">
        <v>94.6</v>
      </c>
      <c r="H43" s="7"/>
      <c r="I43" s="18">
        <v>62.126438978629771</v>
      </c>
      <c r="J43" s="7"/>
      <c r="K43" s="107">
        <v>0</v>
      </c>
      <c r="M43" s="13">
        <v>56</v>
      </c>
      <c r="N43" s="7"/>
      <c r="O43" s="18"/>
      <c r="P43" s="7"/>
      <c r="Q43" s="13">
        <v>94.6</v>
      </c>
      <c r="R43" s="7"/>
      <c r="S43" s="18"/>
      <c r="T43" s="7"/>
      <c r="U43" s="13">
        <v>0</v>
      </c>
      <c r="W43" s="13">
        <f t="shared" ref="W43:W45" si="32">C43-M43</f>
        <v>0</v>
      </c>
      <c r="X43" s="7"/>
      <c r="Y43" s="27"/>
      <c r="Z43" s="7"/>
      <c r="AA43" s="13">
        <f t="shared" ref="AA43:AA45" si="33">G43-Q43</f>
        <v>0</v>
      </c>
      <c r="AB43" s="7"/>
      <c r="AC43" s="27"/>
      <c r="AD43" s="7"/>
      <c r="AE43" s="13">
        <f t="shared" ref="AE43:AE45" si="34">K43-U43</f>
        <v>0</v>
      </c>
    </row>
    <row r="44" spans="1:31" x14ac:dyDescent="0.2">
      <c r="A44" s="7" t="s">
        <v>47</v>
      </c>
      <c r="B44" s="7"/>
      <c r="C44" s="107">
        <v>75.2</v>
      </c>
      <c r="D44" s="142"/>
      <c r="E44" s="18">
        <v>109.8</v>
      </c>
      <c r="F44" s="7"/>
      <c r="G44" s="107">
        <v>46.5</v>
      </c>
      <c r="H44" s="7"/>
      <c r="I44" s="18">
        <v>14.279241406277464</v>
      </c>
      <c r="J44" s="7"/>
      <c r="K44" s="107">
        <v>0</v>
      </c>
      <c r="M44" s="13">
        <v>75.2</v>
      </c>
      <c r="N44" s="7"/>
      <c r="O44" s="18"/>
      <c r="P44" s="7"/>
      <c r="Q44" s="13">
        <v>46.5</v>
      </c>
      <c r="R44" s="7"/>
      <c r="S44" s="18"/>
      <c r="T44" s="7"/>
      <c r="U44" s="13">
        <v>0</v>
      </c>
      <c r="W44" s="13">
        <f t="shared" si="32"/>
        <v>0</v>
      </c>
      <c r="X44" s="7"/>
      <c r="Y44" s="27"/>
      <c r="Z44" s="7"/>
      <c r="AA44" s="13">
        <f t="shared" si="33"/>
        <v>0</v>
      </c>
      <c r="AB44" s="7"/>
      <c r="AC44" s="27"/>
      <c r="AD44" s="7"/>
      <c r="AE44" s="13">
        <f t="shared" si="34"/>
        <v>0</v>
      </c>
    </row>
    <row r="45" spans="1:31" x14ac:dyDescent="0.2">
      <c r="A45" s="7" t="s">
        <v>48</v>
      </c>
      <c r="B45" s="7"/>
      <c r="C45" s="107">
        <v>2</v>
      </c>
      <c r="D45" s="142"/>
      <c r="E45" s="18">
        <v>-3.8</v>
      </c>
      <c r="F45" s="7"/>
      <c r="G45" s="107">
        <v>-12.2</v>
      </c>
      <c r="H45" s="7"/>
      <c r="I45" s="18">
        <v>3.0610722048488337</v>
      </c>
      <c r="J45" s="7"/>
      <c r="K45" s="107">
        <v>0</v>
      </c>
      <c r="M45" s="13">
        <v>2</v>
      </c>
      <c r="N45" s="7"/>
      <c r="O45" s="18"/>
      <c r="P45" s="7"/>
      <c r="Q45" s="13">
        <v>-12.2</v>
      </c>
      <c r="R45" s="7"/>
      <c r="S45" s="18"/>
      <c r="T45" s="7"/>
      <c r="U45" s="13">
        <v>0</v>
      </c>
      <c r="W45" s="13">
        <f t="shared" si="32"/>
        <v>0</v>
      </c>
      <c r="X45" s="7"/>
      <c r="Y45" s="27"/>
      <c r="Z45" s="7"/>
      <c r="AA45" s="13">
        <f t="shared" si="33"/>
        <v>0</v>
      </c>
      <c r="AB45" s="7"/>
      <c r="AC45" s="27"/>
      <c r="AD45" s="7"/>
      <c r="AE45" s="13">
        <f t="shared" si="34"/>
        <v>0</v>
      </c>
    </row>
    <row r="46" spans="1:31" x14ac:dyDescent="0.2">
      <c r="A46" s="20" t="s">
        <v>49</v>
      </c>
      <c r="B46" s="20"/>
      <c r="C46" s="108">
        <f>SUM(C43:C45)</f>
        <v>133.19999999999999</v>
      </c>
      <c r="D46" s="108"/>
      <c r="E46" s="25">
        <f>SUM(E43:E45)</f>
        <v>303.7</v>
      </c>
      <c r="F46" s="26"/>
      <c r="G46" s="108">
        <f>SUM(G43:G45)</f>
        <v>128.9</v>
      </c>
      <c r="H46" s="26"/>
      <c r="I46" s="25">
        <f>SUM(I43:I45)</f>
        <v>79.466752589756069</v>
      </c>
      <c r="J46" s="26"/>
      <c r="K46" s="108">
        <f>SUM(K43:K45)</f>
        <v>0</v>
      </c>
      <c r="M46" s="26">
        <f>SUM(M43:M45)</f>
        <v>133.19999999999999</v>
      </c>
      <c r="N46" s="26"/>
      <c r="O46" s="25">
        <v>299.3</v>
      </c>
      <c r="P46" s="26"/>
      <c r="Q46" s="26">
        <f>SUM(Q43:Q45)</f>
        <v>128.9</v>
      </c>
      <c r="R46" s="26"/>
      <c r="S46" s="25">
        <v>79.5</v>
      </c>
      <c r="T46" s="26"/>
      <c r="U46" s="26">
        <f>SUM(U43:U45)</f>
        <v>0</v>
      </c>
      <c r="W46" s="26">
        <f>SUM(W43:W45)</f>
        <v>0</v>
      </c>
      <c r="X46" s="26"/>
      <c r="Y46" s="31">
        <f>E46-O46</f>
        <v>4.3999999999999773</v>
      </c>
      <c r="Z46" s="26"/>
      <c r="AA46" s="26">
        <f>SUM(AA43:AA45)</f>
        <v>0</v>
      </c>
      <c r="AB46" s="26"/>
      <c r="AC46" s="31">
        <f>I46-S46</f>
        <v>-3.3247410243930631E-2</v>
      </c>
      <c r="AD46" s="26"/>
      <c r="AE46" s="26">
        <f>SUM(AE43:AE45)</f>
        <v>0</v>
      </c>
    </row>
    <row r="47" spans="1:31" x14ac:dyDescent="0.2">
      <c r="A47" s="20"/>
      <c r="B47" s="20"/>
      <c r="C47" s="107"/>
      <c r="D47" s="107"/>
      <c r="E47" s="18"/>
      <c r="F47" s="13"/>
      <c r="G47" s="107"/>
      <c r="H47" s="13"/>
      <c r="I47" s="18"/>
      <c r="J47" s="13"/>
      <c r="K47" s="107"/>
      <c r="M47" s="13"/>
      <c r="N47" s="13"/>
      <c r="O47" s="18"/>
      <c r="P47" s="13"/>
      <c r="Q47" s="13"/>
      <c r="R47" s="13"/>
      <c r="S47" s="18"/>
      <c r="T47" s="13"/>
      <c r="U47" s="13"/>
      <c r="W47" s="13"/>
      <c r="X47" s="13"/>
      <c r="Y47" s="27"/>
      <c r="Z47" s="13"/>
      <c r="AA47" s="13"/>
      <c r="AB47" s="13"/>
      <c r="AC47" s="27"/>
      <c r="AD47" s="13"/>
      <c r="AE47" s="13"/>
    </row>
    <row r="48" spans="1:31" x14ac:dyDescent="0.2">
      <c r="A48" s="20" t="s">
        <v>28</v>
      </c>
      <c r="B48" s="20"/>
      <c r="C48" s="107">
        <v>-8.1</v>
      </c>
      <c r="D48" s="107"/>
      <c r="E48" s="18">
        <v>-29.6</v>
      </c>
      <c r="F48" s="13"/>
      <c r="G48" s="107">
        <f>-1.5-11.6</f>
        <v>-13.1</v>
      </c>
      <c r="H48" s="13"/>
      <c r="I48" s="18">
        <f>-78.43+13.8+20.3+6+4</f>
        <v>-34.330000000000013</v>
      </c>
      <c r="J48" s="7"/>
      <c r="K48" s="107">
        <v>-19.399999999999999</v>
      </c>
      <c r="M48" s="13">
        <v>0</v>
      </c>
      <c r="N48" s="13"/>
      <c r="O48" s="18">
        <v>0</v>
      </c>
      <c r="P48" s="13"/>
      <c r="Q48" s="13">
        <v>0</v>
      </c>
      <c r="R48" s="13"/>
      <c r="S48" s="18">
        <v>0</v>
      </c>
      <c r="T48" s="7"/>
      <c r="U48" s="13">
        <v>0</v>
      </c>
      <c r="W48" s="13">
        <f t="shared" ref="W48:Y48" si="35">C48-M48</f>
        <v>-8.1</v>
      </c>
      <c r="X48" s="13"/>
      <c r="Y48" s="27">
        <f t="shared" si="35"/>
        <v>-29.6</v>
      </c>
      <c r="Z48" s="13"/>
      <c r="AA48" s="13">
        <f t="shared" ref="AA48" si="36">G48-Q48</f>
        <v>-13.1</v>
      </c>
      <c r="AB48" s="13"/>
      <c r="AC48" s="27">
        <f t="shared" ref="AC48" si="37">I48-S48</f>
        <v>-34.330000000000013</v>
      </c>
      <c r="AD48" s="7"/>
      <c r="AE48" s="13">
        <f t="shared" ref="AE48" si="38">K48-U48</f>
        <v>-19.399999999999999</v>
      </c>
    </row>
    <row r="49" spans="1:31" x14ac:dyDescent="0.2">
      <c r="A49" s="20"/>
      <c r="B49" s="20"/>
      <c r="C49" s="109"/>
      <c r="D49" s="142"/>
      <c r="E49" s="19"/>
      <c r="F49" s="7"/>
      <c r="G49" s="109"/>
      <c r="H49" s="7"/>
      <c r="I49" s="19"/>
      <c r="J49" s="7"/>
      <c r="K49" s="109"/>
      <c r="M49" s="17"/>
      <c r="N49" s="7"/>
      <c r="O49" s="19"/>
      <c r="P49" s="7"/>
      <c r="Q49" s="17"/>
      <c r="R49" s="7"/>
      <c r="S49" s="19"/>
      <c r="T49" s="7"/>
      <c r="U49" s="17"/>
      <c r="W49" s="17"/>
      <c r="X49" s="7"/>
      <c r="Y49" s="32"/>
      <c r="Z49" s="7"/>
      <c r="AA49" s="17"/>
      <c r="AB49" s="7"/>
      <c r="AC49" s="32"/>
      <c r="AD49" s="7"/>
      <c r="AE49" s="17"/>
    </row>
    <row r="50" spans="1:31" x14ac:dyDescent="0.2">
      <c r="A50" s="7" t="s">
        <v>52</v>
      </c>
      <c r="B50" s="7"/>
      <c r="C50" s="108">
        <f>SUM(C48,C46,C41)</f>
        <v>230.1</v>
      </c>
      <c r="D50" s="108"/>
      <c r="E50" s="31">
        <f>SUM(E48,E46,E41)</f>
        <v>575.70000000000005</v>
      </c>
      <c r="F50" s="26"/>
      <c r="G50" s="108">
        <f>SUM(G48,G46,G41)</f>
        <v>272.2</v>
      </c>
      <c r="H50" s="26"/>
      <c r="I50" s="31">
        <f>SUM(I48,I46,I41)</f>
        <v>955.33675258975609</v>
      </c>
      <c r="J50" s="26"/>
      <c r="K50" s="108">
        <f>SUM(K48,K46,K41)</f>
        <v>249.99999999999997</v>
      </c>
      <c r="M50" s="26">
        <f>SUM(M48,M46,M41)</f>
        <v>230.1</v>
      </c>
      <c r="N50" s="26"/>
      <c r="O50" s="31">
        <f>SUM(O48,O46,O41)</f>
        <v>575.70000000000005</v>
      </c>
      <c r="P50" s="26"/>
      <c r="Q50" s="26">
        <f>SUM(Q48,Q46,Q41)</f>
        <v>272.20000000000005</v>
      </c>
      <c r="R50" s="26"/>
      <c r="S50" s="31">
        <f>SUM(S48,S46,S41)</f>
        <v>955.30000000000007</v>
      </c>
      <c r="T50" s="26"/>
      <c r="U50" s="26">
        <f>SUM(U48,U46,U41)</f>
        <v>250</v>
      </c>
      <c r="W50" s="26">
        <f>SUM(W48,W46,W41)</f>
        <v>0</v>
      </c>
      <c r="X50" s="26"/>
      <c r="Y50" s="31">
        <f>SUM(Y48,Y46,Y41)</f>
        <v>0</v>
      </c>
      <c r="Z50" s="26"/>
      <c r="AA50" s="26">
        <f>SUM(AA48,AA46,AA41)</f>
        <v>0</v>
      </c>
      <c r="AB50" s="26"/>
      <c r="AC50" s="31">
        <f>SUM(AC48,AC46,AC41)</f>
        <v>3.6752589756076759E-2</v>
      </c>
      <c r="AD50" s="26"/>
      <c r="AE50" s="26">
        <f>SUM(AE48,AE46,AE41)</f>
        <v>0</v>
      </c>
    </row>
  </sheetData>
  <mergeCells count="3">
    <mergeCell ref="C2:K2"/>
    <mergeCell ref="M2:U2"/>
    <mergeCell ref="W2:AE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3:T21"/>
  <sheetViews>
    <sheetView workbookViewId="0"/>
  </sheetViews>
  <sheetFormatPr defaultRowHeight="12.75" x14ac:dyDescent="0.2"/>
  <cols>
    <col min="1" max="1" width="11.5703125" bestFit="1" customWidth="1"/>
    <col min="2" max="3" width="7.5703125" bestFit="1" customWidth="1"/>
    <col min="4" max="4" width="8.5703125" bestFit="1" customWidth="1"/>
    <col min="6" max="6" width="7" bestFit="1" customWidth="1"/>
    <col min="7" max="7" width="6.28515625" bestFit="1" customWidth="1"/>
    <col min="8" max="13" width="6.28515625" customWidth="1"/>
    <col min="14" max="14" width="6" bestFit="1" customWidth="1"/>
    <col min="15" max="15" width="5.7109375" bestFit="1" customWidth="1"/>
    <col min="16" max="17" width="6" bestFit="1" customWidth="1"/>
    <col min="18" max="20" width="5.7109375" bestFit="1" customWidth="1"/>
  </cols>
  <sheetData>
    <row r="3" spans="1:20" x14ac:dyDescent="0.2">
      <c r="A3" s="111" t="s">
        <v>137</v>
      </c>
      <c r="B3" s="112"/>
      <c r="C3" s="113"/>
      <c r="D3" s="112"/>
      <c r="E3" s="124"/>
      <c r="F3" s="12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</row>
    <row r="4" spans="1:20" ht="67.5" x14ac:dyDescent="0.2">
      <c r="A4" s="115"/>
      <c r="B4" s="115" t="s">
        <v>138</v>
      </c>
      <c r="C4" s="125" t="s">
        <v>139</v>
      </c>
      <c r="D4" s="115" t="s">
        <v>130</v>
      </c>
      <c r="E4" s="124"/>
      <c r="F4" s="114" t="s">
        <v>131</v>
      </c>
      <c r="G4" s="114" t="s">
        <v>132</v>
      </c>
      <c r="H4" s="116">
        <v>39142</v>
      </c>
      <c r="I4" s="116">
        <v>39173</v>
      </c>
      <c r="J4" s="116">
        <v>39203</v>
      </c>
      <c r="K4" s="116">
        <v>39234</v>
      </c>
      <c r="L4" s="116">
        <v>39264</v>
      </c>
      <c r="M4" s="116">
        <v>39295</v>
      </c>
      <c r="N4" s="116">
        <v>39326</v>
      </c>
      <c r="O4" s="116">
        <v>39356</v>
      </c>
      <c r="P4" s="116">
        <v>39387</v>
      </c>
      <c r="Q4" s="116">
        <v>39417</v>
      </c>
      <c r="R4" s="116">
        <v>39448</v>
      </c>
      <c r="S4" s="116">
        <v>39479</v>
      </c>
      <c r="T4" s="116">
        <v>39508</v>
      </c>
    </row>
    <row r="5" spans="1:20" x14ac:dyDescent="0.2">
      <c r="A5" s="117" t="s">
        <v>13</v>
      </c>
      <c r="B5" s="114"/>
      <c r="C5" s="118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1:20" x14ac:dyDescent="0.2">
      <c r="A6" s="114" t="s">
        <v>133</v>
      </c>
      <c r="B6" s="119">
        <f>F6</f>
        <v>159.1076923076923</v>
      </c>
      <c r="C6" s="118"/>
      <c r="D6" s="114"/>
      <c r="E6" s="114"/>
      <c r="F6" s="119">
        <f>G6/13</f>
        <v>159.1076923076923</v>
      </c>
      <c r="G6" s="119">
        <f>SUM(N6:T6)</f>
        <v>2068.4</v>
      </c>
      <c r="H6" s="119"/>
      <c r="I6" s="119"/>
      <c r="J6" s="119"/>
      <c r="K6" s="119"/>
      <c r="L6" s="119"/>
      <c r="M6" s="119"/>
      <c r="N6" s="119">
        <v>221.7</v>
      </c>
      <c r="O6" s="119">
        <v>234.8</v>
      </c>
      <c r="P6" s="119">
        <v>239.2</v>
      </c>
      <c r="Q6" s="119">
        <v>257.3</v>
      </c>
      <c r="R6" s="119">
        <v>293.8</v>
      </c>
      <c r="S6" s="119">
        <v>374.5</v>
      </c>
      <c r="T6" s="119">
        <v>447.1</v>
      </c>
    </row>
    <row r="7" spans="1:20" x14ac:dyDescent="0.2">
      <c r="A7" s="114" t="s">
        <v>134</v>
      </c>
      <c r="B7" s="119">
        <f>F7</f>
        <v>82.199999999999989</v>
      </c>
      <c r="C7" s="118"/>
      <c r="D7" s="114"/>
      <c r="E7" s="114"/>
      <c r="F7" s="119">
        <f>G7/13</f>
        <v>82.199999999999989</v>
      </c>
      <c r="G7" s="119">
        <f>SUM(N7:T7)</f>
        <v>1068.5999999999999</v>
      </c>
      <c r="H7" s="119"/>
      <c r="I7" s="119"/>
      <c r="J7" s="119"/>
      <c r="K7" s="119"/>
      <c r="L7" s="119"/>
      <c r="M7" s="119"/>
      <c r="N7" s="119">
        <v>148.4</v>
      </c>
      <c r="O7" s="119">
        <v>123.8</v>
      </c>
      <c r="P7" s="119">
        <v>124.3</v>
      </c>
      <c r="Q7" s="119">
        <v>151.80000000000001</v>
      </c>
      <c r="R7" s="119">
        <v>123.4</v>
      </c>
      <c r="S7" s="119">
        <v>163</v>
      </c>
      <c r="T7" s="119">
        <v>233.9</v>
      </c>
    </row>
    <row r="8" spans="1:20" x14ac:dyDescent="0.2">
      <c r="A8" s="114" t="s">
        <v>135</v>
      </c>
      <c r="B8" s="119">
        <f>F8</f>
        <v>-143.60000000000002</v>
      </c>
      <c r="C8" s="118"/>
      <c r="D8" s="114"/>
      <c r="E8" s="114"/>
      <c r="F8" s="119">
        <f>G8/13</f>
        <v>-143.60000000000002</v>
      </c>
      <c r="G8" s="119">
        <f>SUM(N8:T8)</f>
        <v>-1866.8000000000002</v>
      </c>
      <c r="H8" s="119"/>
      <c r="I8" s="119"/>
      <c r="J8" s="119"/>
      <c r="K8" s="119"/>
      <c r="L8" s="119"/>
      <c r="M8" s="119"/>
      <c r="N8" s="119">
        <v>-248.9</v>
      </c>
      <c r="O8" s="119">
        <v>-224.7</v>
      </c>
      <c r="P8" s="119">
        <v>-215.1</v>
      </c>
      <c r="Q8" s="119">
        <v>-202.3</v>
      </c>
      <c r="R8" s="119">
        <v>-243.4</v>
      </c>
      <c r="S8" s="119">
        <v>-306.39999999999998</v>
      </c>
      <c r="T8" s="119">
        <v>-426</v>
      </c>
    </row>
    <row r="9" spans="1:20" x14ac:dyDescent="0.2">
      <c r="A9" s="120" t="s">
        <v>136</v>
      </c>
      <c r="B9" s="121">
        <f>SUM(B6:B8)</f>
        <v>97.70769230769227</v>
      </c>
      <c r="C9" s="122">
        <v>2347.5</v>
      </c>
      <c r="D9" s="123">
        <f>B9/C9</f>
        <v>4.1622020152371576E-2</v>
      </c>
      <c r="E9" s="124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</row>
    <row r="10" spans="1:20" x14ac:dyDescent="0.2">
      <c r="A10" s="117"/>
      <c r="B10" s="114"/>
      <c r="C10" s="118"/>
      <c r="D10" s="114"/>
      <c r="E10" s="114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</row>
    <row r="11" spans="1:20" x14ac:dyDescent="0.2">
      <c r="A11" s="117" t="s">
        <v>49</v>
      </c>
      <c r="B11" s="114"/>
      <c r="C11" s="118"/>
      <c r="D11" s="114"/>
      <c r="E11" s="114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</row>
    <row r="12" spans="1:20" x14ac:dyDescent="0.2">
      <c r="A12" s="114" t="s">
        <v>133</v>
      </c>
      <c r="B12" s="119">
        <f>F12</f>
        <v>0</v>
      </c>
      <c r="C12" s="118"/>
      <c r="D12" s="114"/>
      <c r="E12" s="114"/>
      <c r="F12" s="119">
        <f>G12/4</f>
        <v>0</v>
      </c>
      <c r="G12" s="119">
        <f>SUM(N12:T12)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</row>
    <row r="13" spans="1:20" x14ac:dyDescent="0.2">
      <c r="A13" s="114" t="s">
        <v>134</v>
      </c>
      <c r="B13" s="119">
        <f>F13</f>
        <v>0</v>
      </c>
      <c r="C13" s="118"/>
      <c r="D13" s="114"/>
      <c r="E13" s="114"/>
      <c r="F13" s="119">
        <f>G13/4</f>
        <v>0</v>
      </c>
      <c r="G13" s="119">
        <f>SUM(N13:T13)</f>
        <v>0</v>
      </c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</row>
    <row r="14" spans="1:20" x14ac:dyDescent="0.2">
      <c r="A14" s="114" t="s">
        <v>135</v>
      </c>
      <c r="B14" s="119">
        <f>F14</f>
        <v>0</v>
      </c>
      <c r="C14" s="118"/>
      <c r="D14" s="114"/>
      <c r="E14" s="114"/>
      <c r="F14" s="119">
        <f>G14/4</f>
        <v>0</v>
      </c>
      <c r="G14" s="119">
        <f>SUM(N14:T14)</f>
        <v>0</v>
      </c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</row>
    <row r="15" spans="1:20" x14ac:dyDescent="0.2">
      <c r="A15" s="120" t="s">
        <v>136</v>
      </c>
      <c r="B15" s="121">
        <f>SUM(B12:B14)</f>
        <v>0</v>
      </c>
      <c r="C15" s="122">
        <v>1717.1</v>
      </c>
      <c r="D15" s="123">
        <f>B15/C15</f>
        <v>0</v>
      </c>
      <c r="E15" s="124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</row>
    <row r="16" spans="1:20" x14ac:dyDescent="0.2">
      <c r="A16" s="114"/>
      <c r="B16" s="114"/>
      <c r="C16" s="118"/>
      <c r="D16" s="114"/>
      <c r="E16" s="114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x14ac:dyDescent="0.2">
      <c r="A17" s="117" t="s">
        <v>132</v>
      </c>
      <c r="B17" s="114"/>
      <c r="C17" s="118"/>
      <c r="D17" s="114"/>
      <c r="E17" s="114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  <row r="18" spans="1:20" x14ac:dyDescent="0.2">
      <c r="A18" s="114" t="s">
        <v>133</v>
      </c>
      <c r="B18" s="119">
        <f>F18</f>
        <v>159.1076923076923</v>
      </c>
      <c r="C18" s="118"/>
      <c r="D18" s="114"/>
      <c r="E18" s="114"/>
      <c r="F18" s="119">
        <f>SUM(F6,F12)</f>
        <v>159.1076923076923</v>
      </c>
      <c r="G18" s="119">
        <f>SUM(N18:T18)</f>
        <v>2068.4</v>
      </c>
      <c r="H18" s="119"/>
      <c r="I18" s="119"/>
      <c r="J18" s="119"/>
      <c r="K18" s="119"/>
      <c r="L18" s="119"/>
      <c r="M18" s="119"/>
      <c r="N18" s="119">
        <f t="shared" ref="N18:T20" si="0">N6+N12</f>
        <v>221.7</v>
      </c>
      <c r="O18" s="119">
        <f t="shared" si="0"/>
        <v>234.8</v>
      </c>
      <c r="P18" s="119">
        <f t="shared" si="0"/>
        <v>239.2</v>
      </c>
      <c r="Q18" s="119">
        <f t="shared" si="0"/>
        <v>257.3</v>
      </c>
      <c r="R18" s="119">
        <f t="shared" si="0"/>
        <v>293.8</v>
      </c>
      <c r="S18" s="119">
        <f t="shared" si="0"/>
        <v>374.5</v>
      </c>
      <c r="T18" s="119">
        <f t="shared" si="0"/>
        <v>447.1</v>
      </c>
    </row>
    <row r="19" spans="1:20" x14ac:dyDescent="0.2">
      <c r="A19" s="114" t="s">
        <v>134</v>
      </c>
      <c r="B19" s="119">
        <f>F19</f>
        <v>82.199999999999989</v>
      </c>
      <c r="C19" s="118"/>
      <c r="D19" s="114"/>
      <c r="E19" s="114"/>
      <c r="F19" s="119">
        <f>SUM(F7,F13)</f>
        <v>82.199999999999989</v>
      </c>
      <c r="G19" s="119">
        <f>SUM(N19:T19)</f>
        <v>1068.5999999999999</v>
      </c>
      <c r="H19" s="119"/>
      <c r="I19" s="119"/>
      <c r="J19" s="119"/>
      <c r="K19" s="119"/>
      <c r="L19" s="119"/>
      <c r="M19" s="119"/>
      <c r="N19" s="119">
        <f t="shared" si="0"/>
        <v>148.4</v>
      </c>
      <c r="O19" s="119">
        <f t="shared" si="0"/>
        <v>123.8</v>
      </c>
      <c r="P19" s="119">
        <f t="shared" si="0"/>
        <v>124.3</v>
      </c>
      <c r="Q19" s="119">
        <f t="shared" si="0"/>
        <v>151.80000000000001</v>
      </c>
      <c r="R19" s="119">
        <f t="shared" si="0"/>
        <v>123.4</v>
      </c>
      <c r="S19" s="119">
        <f t="shared" si="0"/>
        <v>163</v>
      </c>
      <c r="T19" s="119">
        <f t="shared" si="0"/>
        <v>233.9</v>
      </c>
    </row>
    <row r="20" spans="1:20" x14ac:dyDescent="0.2">
      <c r="A20" s="114" t="s">
        <v>135</v>
      </c>
      <c r="B20" s="119">
        <f>F20</f>
        <v>-143.60000000000002</v>
      </c>
      <c r="C20" s="118"/>
      <c r="D20" s="114"/>
      <c r="E20" s="114"/>
      <c r="F20" s="119">
        <f>SUM(F8,F14)</f>
        <v>-143.60000000000002</v>
      </c>
      <c r="G20" s="119">
        <f>SUM(N20:T20)</f>
        <v>-1866.8000000000002</v>
      </c>
      <c r="H20" s="119"/>
      <c r="I20" s="119"/>
      <c r="J20" s="119"/>
      <c r="K20" s="119"/>
      <c r="L20" s="119"/>
      <c r="M20" s="119"/>
      <c r="N20" s="119">
        <f t="shared" si="0"/>
        <v>-248.9</v>
      </c>
      <c r="O20" s="119">
        <f t="shared" si="0"/>
        <v>-224.7</v>
      </c>
      <c r="P20" s="119">
        <f t="shared" si="0"/>
        <v>-215.1</v>
      </c>
      <c r="Q20" s="119">
        <f t="shared" si="0"/>
        <v>-202.3</v>
      </c>
      <c r="R20" s="119">
        <f t="shared" si="0"/>
        <v>-243.4</v>
      </c>
      <c r="S20" s="119">
        <f t="shared" si="0"/>
        <v>-306.39999999999998</v>
      </c>
      <c r="T20" s="119">
        <f t="shared" si="0"/>
        <v>-426</v>
      </c>
    </row>
    <row r="21" spans="1:20" x14ac:dyDescent="0.2">
      <c r="A21" s="120" t="s">
        <v>136</v>
      </c>
      <c r="B21" s="121">
        <f>SUM(B18:B20)</f>
        <v>97.70769230769227</v>
      </c>
      <c r="C21" s="122">
        <v>4064.6</v>
      </c>
      <c r="D21" s="123">
        <f>B21/C21</f>
        <v>2.4038698102566616E-2</v>
      </c>
      <c r="E21" s="124"/>
      <c r="F21" s="119">
        <f>G21/13</f>
        <v>188.87207692307695</v>
      </c>
      <c r="G21" s="119">
        <f>SUM(H21:T21)</f>
        <v>2455.3370000000004</v>
      </c>
      <c r="H21" s="126">
        <v>251.54400000000001</v>
      </c>
      <c r="I21" s="126">
        <v>267.036</v>
      </c>
      <c r="J21" s="126">
        <v>220.773</v>
      </c>
      <c r="K21" s="126">
        <v>163.41999999999999</v>
      </c>
      <c r="L21" s="126">
        <v>131.09899999999999</v>
      </c>
      <c r="M21" s="126">
        <v>151.26499999999999</v>
      </c>
      <c r="N21" s="119">
        <f>SUM(N18:N20)</f>
        <v>121.20000000000002</v>
      </c>
      <c r="O21" s="119">
        <f t="shared" ref="O21:T21" si="1">SUM(O18:O20)</f>
        <v>133.90000000000003</v>
      </c>
      <c r="P21" s="119">
        <f t="shared" si="1"/>
        <v>148.4</v>
      </c>
      <c r="Q21" s="119">
        <f t="shared" si="1"/>
        <v>206.8</v>
      </c>
      <c r="R21" s="119">
        <f t="shared" si="1"/>
        <v>173.80000000000004</v>
      </c>
      <c r="S21" s="119">
        <f t="shared" si="1"/>
        <v>231.10000000000002</v>
      </c>
      <c r="T21" s="119">
        <f t="shared" si="1"/>
        <v>255</v>
      </c>
    </row>
  </sheetData>
  <pageMargins left="0.7" right="0.7" top="0.75" bottom="0.75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I29"/>
  <sheetViews>
    <sheetView workbookViewId="0"/>
  </sheetViews>
  <sheetFormatPr defaultRowHeight="12.75" x14ac:dyDescent="0.2"/>
  <cols>
    <col min="1" max="1" width="17.5703125" bestFit="1" customWidth="1"/>
    <col min="2" max="8" width="16.7109375" bestFit="1" customWidth="1"/>
    <col min="9" max="9" width="14" bestFit="1" customWidth="1"/>
    <col min="257" max="257" width="17.5703125" bestFit="1" customWidth="1"/>
    <col min="258" max="264" width="16.7109375" bestFit="1" customWidth="1"/>
    <col min="265" max="265" width="14" bestFit="1" customWidth="1"/>
    <col min="513" max="513" width="17.5703125" bestFit="1" customWidth="1"/>
    <col min="514" max="520" width="16.7109375" bestFit="1" customWidth="1"/>
    <col min="521" max="521" width="14" bestFit="1" customWidth="1"/>
    <col min="769" max="769" width="17.5703125" bestFit="1" customWidth="1"/>
    <col min="770" max="776" width="16.7109375" bestFit="1" customWidth="1"/>
    <col min="777" max="777" width="14" bestFit="1" customWidth="1"/>
    <col min="1025" max="1025" width="17.5703125" bestFit="1" customWidth="1"/>
    <col min="1026" max="1032" width="16.7109375" bestFit="1" customWidth="1"/>
    <col min="1033" max="1033" width="14" bestFit="1" customWidth="1"/>
    <col min="1281" max="1281" width="17.5703125" bestFit="1" customWidth="1"/>
    <col min="1282" max="1288" width="16.7109375" bestFit="1" customWidth="1"/>
    <col min="1289" max="1289" width="14" bestFit="1" customWidth="1"/>
    <col min="1537" max="1537" width="17.5703125" bestFit="1" customWidth="1"/>
    <col min="1538" max="1544" width="16.7109375" bestFit="1" customWidth="1"/>
    <col min="1545" max="1545" width="14" bestFit="1" customWidth="1"/>
    <col min="1793" max="1793" width="17.5703125" bestFit="1" customWidth="1"/>
    <col min="1794" max="1800" width="16.7109375" bestFit="1" customWidth="1"/>
    <col min="1801" max="1801" width="14" bestFit="1" customWidth="1"/>
    <col min="2049" max="2049" width="17.5703125" bestFit="1" customWidth="1"/>
    <col min="2050" max="2056" width="16.7109375" bestFit="1" customWidth="1"/>
    <col min="2057" max="2057" width="14" bestFit="1" customWidth="1"/>
    <col min="2305" max="2305" width="17.5703125" bestFit="1" customWidth="1"/>
    <col min="2306" max="2312" width="16.7109375" bestFit="1" customWidth="1"/>
    <col min="2313" max="2313" width="14" bestFit="1" customWidth="1"/>
    <col min="2561" max="2561" width="17.5703125" bestFit="1" customWidth="1"/>
    <col min="2562" max="2568" width="16.7109375" bestFit="1" customWidth="1"/>
    <col min="2569" max="2569" width="14" bestFit="1" customWidth="1"/>
    <col min="2817" max="2817" width="17.5703125" bestFit="1" customWidth="1"/>
    <col min="2818" max="2824" width="16.7109375" bestFit="1" customWidth="1"/>
    <col min="2825" max="2825" width="14" bestFit="1" customWidth="1"/>
    <col min="3073" max="3073" width="17.5703125" bestFit="1" customWidth="1"/>
    <col min="3074" max="3080" width="16.7109375" bestFit="1" customWidth="1"/>
    <col min="3081" max="3081" width="14" bestFit="1" customWidth="1"/>
    <col min="3329" max="3329" width="17.5703125" bestFit="1" customWidth="1"/>
    <col min="3330" max="3336" width="16.7109375" bestFit="1" customWidth="1"/>
    <col min="3337" max="3337" width="14" bestFit="1" customWidth="1"/>
    <col min="3585" max="3585" width="17.5703125" bestFit="1" customWidth="1"/>
    <col min="3586" max="3592" width="16.7109375" bestFit="1" customWidth="1"/>
    <col min="3593" max="3593" width="14" bestFit="1" customWidth="1"/>
    <col min="3841" max="3841" width="17.5703125" bestFit="1" customWidth="1"/>
    <col min="3842" max="3848" width="16.7109375" bestFit="1" customWidth="1"/>
    <col min="3849" max="3849" width="14" bestFit="1" customWidth="1"/>
    <col min="4097" max="4097" width="17.5703125" bestFit="1" customWidth="1"/>
    <col min="4098" max="4104" width="16.7109375" bestFit="1" customWidth="1"/>
    <col min="4105" max="4105" width="14" bestFit="1" customWidth="1"/>
    <col min="4353" max="4353" width="17.5703125" bestFit="1" customWidth="1"/>
    <col min="4354" max="4360" width="16.7109375" bestFit="1" customWidth="1"/>
    <col min="4361" max="4361" width="14" bestFit="1" customWidth="1"/>
    <col min="4609" max="4609" width="17.5703125" bestFit="1" customWidth="1"/>
    <col min="4610" max="4616" width="16.7109375" bestFit="1" customWidth="1"/>
    <col min="4617" max="4617" width="14" bestFit="1" customWidth="1"/>
    <col min="4865" max="4865" width="17.5703125" bestFit="1" customWidth="1"/>
    <col min="4866" max="4872" width="16.7109375" bestFit="1" customWidth="1"/>
    <col min="4873" max="4873" width="14" bestFit="1" customWidth="1"/>
    <col min="5121" max="5121" width="17.5703125" bestFit="1" customWidth="1"/>
    <col min="5122" max="5128" width="16.7109375" bestFit="1" customWidth="1"/>
    <col min="5129" max="5129" width="14" bestFit="1" customWidth="1"/>
    <col min="5377" max="5377" width="17.5703125" bestFit="1" customWidth="1"/>
    <col min="5378" max="5384" width="16.7109375" bestFit="1" customWidth="1"/>
    <col min="5385" max="5385" width="14" bestFit="1" customWidth="1"/>
    <col min="5633" max="5633" width="17.5703125" bestFit="1" customWidth="1"/>
    <col min="5634" max="5640" width="16.7109375" bestFit="1" customWidth="1"/>
    <col min="5641" max="5641" width="14" bestFit="1" customWidth="1"/>
    <col min="5889" max="5889" width="17.5703125" bestFit="1" customWidth="1"/>
    <col min="5890" max="5896" width="16.7109375" bestFit="1" customWidth="1"/>
    <col min="5897" max="5897" width="14" bestFit="1" customWidth="1"/>
    <col min="6145" max="6145" width="17.5703125" bestFit="1" customWidth="1"/>
    <col min="6146" max="6152" width="16.7109375" bestFit="1" customWidth="1"/>
    <col min="6153" max="6153" width="14" bestFit="1" customWidth="1"/>
    <col min="6401" max="6401" width="17.5703125" bestFit="1" customWidth="1"/>
    <col min="6402" max="6408" width="16.7109375" bestFit="1" customWidth="1"/>
    <col min="6409" max="6409" width="14" bestFit="1" customWidth="1"/>
    <col min="6657" max="6657" width="17.5703125" bestFit="1" customWidth="1"/>
    <col min="6658" max="6664" width="16.7109375" bestFit="1" customWidth="1"/>
    <col min="6665" max="6665" width="14" bestFit="1" customWidth="1"/>
    <col min="6913" max="6913" width="17.5703125" bestFit="1" customWidth="1"/>
    <col min="6914" max="6920" width="16.7109375" bestFit="1" customWidth="1"/>
    <col min="6921" max="6921" width="14" bestFit="1" customWidth="1"/>
    <col min="7169" max="7169" width="17.5703125" bestFit="1" customWidth="1"/>
    <col min="7170" max="7176" width="16.7109375" bestFit="1" customWidth="1"/>
    <col min="7177" max="7177" width="14" bestFit="1" customWidth="1"/>
    <col min="7425" max="7425" width="17.5703125" bestFit="1" customWidth="1"/>
    <col min="7426" max="7432" width="16.7109375" bestFit="1" customWidth="1"/>
    <col min="7433" max="7433" width="14" bestFit="1" customWidth="1"/>
    <col min="7681" max="7681" width="17.5703125" bestFit="1" customWidth="1"/>
    <col min="7682" max="7688" width="16.7109375" bestFit="1" customWidth="1"/>
    <col min="7689" max="7689" width="14" bestFit="1" customWidth="1"/>
    <col min="7937" max="7937" width="17.5703125" bestFit="1" customWidth="1"/>
    <col min="7938" max="7944" width="16.7109375" bestFit="1" customWidth="1"/>
    <col min="7945" max="7945" width="14" bestFit="1" customWidth="1"/>
    <col min="8193" max="8193" width="17.5703125" bestFit="1" customWidth="1"/>
    <col min="8194" max="8200" width="16.7109375" bestFit="1" customWidth="1"/>
    <col min="8201" max="8201" width="14" bestFit="1" customWidth="1"/>
    <col min="8449" max="8449" width="17.5703125" bestFit="1" customWidth="1"/>
    <col min="8450" max="8456" width="16.7109375" bestFit="1" customWidth="1"/>
    <col min="8457" max="8457" width="14" bestFit="1" customWidth="1"/>
    <col min="8705" max="8705" width="17.5703125" bestFit="1" customWidth="1"/>
    <col min="8706" max="8712" width="16.7109375" bestFit="1" customWidth="1"/>
    <col min="8713" max="8713" width="14" bestFit="1" customWidth="1"/>
    <col min="8961" max="8961" width="17.5703125" bestFit="1" customWidth="1"/>
    <col min="8962" max="8968" width="16.7109375" bestFit="1" customWidth="1"/>
    <col min="8969" max="8969" width="14" bestFit="1" customWidth="1"/>
    <col min="9217" max="9217" width="17.5703125" bestFit="1" customWidth="1"/>
    <col min="9218" max="9224" width="16.7109375" bestFit="1" customWidth="1"/>
    <col min="9225" max="9225" width="14" bestFit="1" customWidth="1"/>
    <col min="9473" max="9473" width="17.5703125" bestFit="1" customWidth="1"/>
    <col min="9474" max="9480" width="16.7109375" bestFit="1" customWidth="1"/>
    <col min="9481" max="9481" width="14" bestFit="1" customWidth="1"/>
    <col min="9729" max="9729" width="17.5703125" bestFit="1" customWidth="1"/>
    <col min="9730" max="9736" width="16.7109375" bestFit="1" customWidth="1"/>
    <col min="9737" max="9737" width="14" bestFit="1" customWidth="1"/>
    <col min="9985" max="9985" width="17.5703125" bestFit="1" customWidth="1"/>
    <col min="9986" max="9992" width="16.7109375" bestFit="1" customWidth="1"/>
    <col min="9993" max="9993" width="14" bestFit="1" customWidth="1"/>
    <col min="10241" max="10241" width="17.5703125" bestFit="1" customWidth="1"/>
    <col min="10242" max="10248" width="16.7109375" bestFit="1" customWidth="1"/>
    <col min="10249" max="10249" width="14" bestFit="1" customWidth="1"/>
    <col min="10497" max="10497" width="17.5703125" bestFit="1" customWidth="1"/>
    <col min="10498" max="10504" width="16.7109375" bestFit="1" customWidth="1"/>
    <col min="10505" max="10505" width="14" bestFit="1" customWidth="1"/>
    <col min="10753" max="10753" width="17.5703125" bestFit="1" customWidth="1"/>
    <col min="10754" max="10760" width="16.7109375" bestFit="1" customWidth="1"/>
    <col min="10761" max="10761" width="14" bestFit="1" customWidth="1"/>
    <col min="11009" max="11009" width="17.5703125" bestFit="1" customWidth="1"/>
    <col min="11010" max="11016" width="16.7109375" bestFit="1" customWidth="1"/>
    <col min="11017" max="11017" width="14" bestFit="1" customWidth="1"/>
    <col min="11265" max="11265" width="17.5703125" bestFit="1" customWidth="1"/>
    <col min="11266" max="11272" width="16.7109375" bestFit="1" customWidth="1"/>
    <col min="11273" max="11273" width="14" bestFit="1" customWidth="1"/>
    <col min="11521" max="11521" width="17.5703125" bestFit="1" customWidth="1"/>
    <col min="11522" max="11528" width="16.7109375" bestFit="1" customWidth="1"/>
    <col min="11529" max="11529" width="14" bestFit="1" customWidth="1"/>
    <col min="11777" max="11777" width="17.5703125" bestFit="1" customWidth="1"/>
    <col min="11778" max="11784" width="16.7109375" bestFit="1" customWidth="1"/>
    <col min="11785" max="11785" width="14" bestFit="1" customWidth="1"/>
    <col min="12033" max="12033" width="17.5703125" bestFit="1" customWidth="1"/>
    <col min="12034" max="12040" width="16.7109375" bestFit="1" customWidth="1"/>
    <col min="12041" max="12041" width="14" bestFit="1" customWidth="1"/>
    <col min="12289" max="12289" width="17.5703125" bestFit="1" customWidth="1"/>
    <col min="12290" max="12296" width="16.7109375" bestFit="1" customWidth="1"/>
    <col min="12297" max="12297" width="14" bestFit="1" customWidth="1"/>
    <col min="12545" max="12545" width="17.5703125" bestFit="1" customWidth="1"/>
    <col min="12546" max="12552" width="16.7109375" bestFit="1" customWidth="1"/>
    <col min="12553" max="12553" width="14" bestFit="1" customWidth="1"/>
    <col min="12801" max="12801" width="17.5703125" bestFit="1" customWidth="1"/>
    <col min="12802" max="12808" width="16.7109375" bestFit="1" customWidth="1"/>
    <col min="12809" max="12809" width="14" bestFit="1" customWidth="1"/>
    <col min="13057" max="13057" width="17.5703125" bestFit="1" customWidth="1"/>
    <col min="13058" max="13064" width="16.7109375" bestFit="1" customWidth="1"/>
    <col min="13065" max="13065" width="14" bestFit="1" customWidth="1"/>
    <col min="13313" max="13313" width="17.5703125" bestFit="1" customWidth="1"/>
    <col min="13314" max="13320" width="16.7109375" bestFit="1" customWidth="1"/>
    <col min="13321" max="13321" width="14" bestFit="1" customWidth="1"/>
    <col min="13569" max="13569" width="17.5703125" bestFit="1" customWidth="1"/>
    <col min="13570" max="13576" width="16.7109375" bestFit="1" customWidth="1"/>
    <col min="13577" max="13577" width="14" bestFit="1" customWidth="1"/>
    <col min="13825" max="13825" width="17.5703125" bestFit="1" customWidth="1"/>
    <col min="13826" max="13832" width="16.7109375" bestFit="1" customWidth="1"/>
    <col min="13833" max="13833" width="14" bestFit="1" customWidth="1"/>
    <col min="14081" max="14081" width="17.5703125" bestFit="1" customWidth="1"/>
    <col min="14082" max="14088" width="16.7109375" bestFit="1" customWidth="1"/>
    <col min="14089" max="14089" width="14" bestFit="1" customWidth="1"/>
    <col min="14337" max="14337" width="17.5703125" bestFit="1" customWidth="1"/>
    <col min="14338" max="14344" width="16.7109375" bestFit="1" customWidth="1"/>
    <col min="14345" max="14345" width="14" bestFit="1" customWidth="1"/>
    <col min="14593" max="14593" width="17.5703125" bestFit="1" customWidth="1"/>
    <col min="14594" max="14600" width="16.7109375" bestFit="1" customWidth="1"/>
    <col min="14601" max="14601" width="14" bestFit="1" customWidth="1"/>
    <col min="14849" max="14849" width="17.5703125" bestFit="1" customWidth="1"/>
    <col min="14850" max="14856" width="16.7109375" bestFit="1" customWidth="1"/>
    <col min="14857" max="14857" width="14" bestFit="1" customWidth="1"/>
    <col min="15105" max="15105" width="17.5703125" bestFit="1" customWidth="1"/>
    <col min="15106" max="15112" width="16.7109375" bestFit="1" customWidth="1"/>
    <col min="15113" max="15113" width="14" bestFit="1" customWidth="1"/>
    <col min="15361" max="15361" width="17.5703125" bestFit="1" customWidth="1"/>
    <col min="15362" max="15368" width="16.7109375" bestFit="1" customWidth="1"/>
    <col min="15369" max="15369" width="14" bestFit="1" customWidth="1"/>
    <col min="15617" max="15617" width="17.5703125" bestFit="1" customWidth="1"/>
    <col min="15618" max="15624" width="16.7109375" bestFit="1" customWidth="1"/>
    <col min="15625" max="15625" width="14" bestFit="1" customWidth="1"/>
    <col min="15873" max="15873" width="17.5703125" bestFit="1" customWidth="1"/>
    <col min="15874" max="15880" width="16.7109375" bestFit="1" customWidth="1"/>
    <col min="15881" max="15881" width="14" bestFit="1" customWidth="1"/>
    <col min="16129" max="16129" width="17.5703125" bestFit="1" customWidth="1"/>
    <col min="16130" max="16136" width="16.7109375" bestFit="1" customWidth="1"/>
    <col min="16137" max="16137" width="14" bestFit="1" customWidth="1"/>
  </cols>
  <sheetData>
    <row r="1" spans="1:9" x14ac:dyDescent="0.2">
      <c r="A1" t="s">
        <v>156</v>
      </c>
    </row>
    <row r="3" spans="1:9" x14ac:dyDescent="0.2">
      <c r="A3" s="200" t="s">
        <v>93</v>
      </c>
      <c r="B3" s="200" t="s">
        <v>94</v>
      </c>
      <c r="C3" s="186"/>
      <c r="D3" s="186"/>
      <c r="E3" s="186"/>
      <c r="F3" s="186"/>
      <c r="G3" s="186"/>
      <c r="H3" s="186"/>
      <c r="I3" s="187"/>
    </row>
    <row r="4" spans="1:9" x14ac:dyDescent="0.2">
      <c r="A4" s="200" t="s">
        <v>95</v>
      </c>
      <c r="B4" s="185" t="s">
        <v>96</v>
      </c>
      <c r="C4" s="188" t="s">
        <v>98</v>
      </c>
      <c r="D4" s="188" t="s">
        <v>99</v>
      </c>
      <c r="E4" s="188" t="s">
        <v>100</v>
      </c>
      <c r="F4" s="188" t="s">
        <v>157</v>
      </c>
      <c r="G4" s="188" t="s">
        <v>104</v>
      </c>
      <c r="H4" s="188" t="s">
        <v>106</v>
      </c>
      <c r="I4" s="189" t="s">
        <v>107</v>
      </c>
    </row>
    <row r="5" spans="1:9" x14ac:dyDescent="0.2">
      <c r="A5" s="185" t="s">
        <v>108</v>
      </c>
      <c r="B5" s="190"/>
      <c r="C5" s="191"/>
      <c r="D5" s="191"/>
      <c r="E5" s="191">
        <v>74879.14</v>
      </c>
      <c r="F5" s="191"/>
      <c r="G5" s="191">
        <v>3090.91</v>
      </c>
      <c r="H5" s="191"/>
      <c r="I5" s="192">
        <v>77970.05</v>
      </c>
    </row>
    <row r="6" spans="1:9" x14ac:dyDescent="0.2">
      <c r="A6" s="193" t="s">
        <v>109</v>
      </c>
      <c r="B6" s="194">
        <v>220372.87</v>
      </c>
      <c r="C6" s="86">
        <v>592761.48</v>
      </c>
      <c r="D6" s="86">
        <v>34269042.190000013</v>
      </c>
      <c r="E6" s="86"/>
      <c r="F6" s="86"/>
      <c r="G6" s="86">
        <v>7615185.2299999995</v>
      </c>
      <c r="H6" s="86">
        <v>318867.78000000003</v>
      </c>
      <c r="I6" s="195">
        <v>43016229.550000012</v>
      </c>
    </row>
    <row r="7" spans="1:9" x14ac:dyDescent="0.2">
      <c r="A7" s="201" t="s">
        <v>110</v>
      </c>
      <c r="B7" s="202"/>
      <c r="C7" s="95">
        <v>581226.43999999994</v>
      </c>
      <c r="D7" s="95"/>
      <c r="E7" s="95"/>
      <c r="F7" s="95"/>
      <c r="G7" s="95"/>
      <c r="H7" s="95"/>
      <c r="I7" s="203">
        <v>581226.43999999994</v>
      </c>
    </row>
    <row r="8" spans="1:9" x14ac:dyDescent="0.2">
      <c r="A8" s="193" t="s">
        <v>111</v>
      </c>
      <c r="B8" s="194"/>
      <c r="C8" s="86"/>
      <c r="D8" s="86"/>
      <c r="E8" s="86"/>
      <c r="F8" s="86"/>
      <c r="G8" s="86">
        <v>1838493.66</v>
      </c>
      <c r="H8" s="86"/>
      <c r="I8" s="195">
        <v>1838493.66</v>
      </c>
    </row>
    <row r="9" spans="1:9" x14ac:dyDescent="0.2">
      <c r="A9" s="201" t="s">
        <v>158</v>
      </c>
      <c r="B9" s="202"/>
      <c r="C9" s="95"/>
      <c r="D9" s="95"/>
      <c r="E9" s="95">
        <v>510383.69</v>
      </c>
      <c r="F9" s="95"/>
      <c r="G9" s="95">
        <v>90902.69</v>
      </c>
      <c r="H9" s="95"/>
      <c r="I9" s="203">
        <v>601286.38</v>
      </c>
    </row>
    <row r="10" spans="1:9" x14ac:dyDescent="0.2">
      <c r="A10" s="193" t="s">
        <v>113</v>
      </c>
      <c r="B10" s="194">
        <v>103840.73</v>
      </c>
      <c r="C10" s="86"/>
      <c r="D10" s="86"/>
      <c r="E10" s="86"/>
      <c r="F10" s="86"/>
      <c r="G10" s="86">
        <v>214301.3</v>
      </c>
      <c r="H10" s="86"/>
      <c r="I10" s="195">
        <v>318142.03000000003</v>
      </c>
    </row>
    <row r="11" spans="1:9" x14ac:dyDescent="0.2">
      <c r="A11" s="193" t="s">
        <v>114</v>
      </c>
      <c r="B11" s="194"/>
      <c r="C11" s="86"/>
      <c r="D11" s="86"/>
      <c r="E11" s="86">
        <v>40506.720000000001</v>
      </c>
      <c r="F11" s="86"/>
      <c r="G11" s="86">
        <v>2100</v>
      </c>
      <c r="H11" s="86"/>
      <c r="I11" s="195">
        <v>42606.720000000001</v>
      </c>
    </row>
    <row r="12" spans="1:9" x14ac:dyDescent="0.2">
      <c r="A12" s="193" t="s">
        <v>159</v>
      </c>
      <c r="B12" s="194"/>
      <c r="C12" s="86">
        <v>24518.51</v>
      </c>
      <c r="D12" s="86"/>
      <c r="E12" s="86"/>
      <c r="F12" s="86"/>
      <c r="G12" s="86"/>
      <c r="H12" s="86"/>
      <c r="I12" s="195">
        <v>24518.51</v>
      </c>
    </row>
    <row r="13" spans="1:9" x14ac:dyDescent="0.2">
      <c r="A13" s="193" t="s">
        <v>115</v>
      </c>
      <c r="B13" s="194">
        <v>260785.54</v>
      </c>
      <c r="C13" s="86"/>
      <c r="D13" s="86"/>
      <c r="E13" s="86"/>
      <c r="F13" s="86"/>
      <c r="G13" s="86">
        <v>397976.78</v>
      </c>
      <c r="H13" s="86"/>
      <c r="I13" s="195">
        <v>658762.31999999995</v>
      </c>
    </row>
    <row r="14" spans="1:9" x14ac:dyDescent="0.2">
      <c r="A14" s="193" t="s">
        <v>116</v>
      </c>
      <c r="B14" s="194">
        <v>235.96</v>
      </c>
      <c r="C14" s="86"/>
      <c r="D14" s="86"/>
      <c r="E14" s="86"/>
      <c r="F14" s="86"/>
      <c r="G14" s="86">
        <v>666874.93999999994</v>
      </c>
      <c r="H14" s="86"/>
      <c r="I14" s="195">
        <v>667110.9</v>
      </c>
    </row>
    <row r="15" spans="1:9" x14ac:dyDescent="0.2">
      <c r="A15" s="193" t="s">
        <v>117</v>
      </c>
      <c r="B15" s="194"/>
      <c r="C15" s="86"/>
      <c r="D15" s="86"/>
      <c r="E15" s="86">
        <v>130234</v>
      </c>
      <c r="F15" s="86">
        <v>155220.78</v>
      </c>
      <c r="G15" s="86">
        <v>844</v>
      </c>
      <c r="H15" s="86"/>
      <c r="I15" s="195">
        <v>286298.78000000003</v>
      </c>
    </row>
    <row r="16" spans="1:9" x14ac:dyDescent="0.2">
      <c r="A16" s="204" t="s">
        <v>118</v>
      </c>
      <c r="B16" s="205"/>
      <c r="C16" s="100"/>
      <c r="D16" s="100">
        <v>-12855</v>
      </c>
      <c r="E16" s="100"/>
      <c r="F16" s="100"/>
      <c r="G16" s="100">
        <v>5164218.9000000004</v>
      </c>
      <c r="H16" s="100"/>
      <c r="I16" s="206">
        <v>5151363.9000000004</v>
      </c>
    </row>
    <row r="17" spans="1:9" x14ac:dyDescent="0.2">
      <c r="A17" s="193" t="s">
        <v>119</v>
      </c>
      <c r="B17" s="194"/>
      <c r="C17" s="86"/>
      <c r="D17" s="86"/>
      <c r="E17" s="86"/>
      <c r="F17" s="86"/>
      <c r="G17" s="86">
        <v>256819.12</v>
      </c>
      <c r="H17" s="86"/>
      <c r="I17" s="195">
        <v>256819.12</v>
      </c>
    </row>
    <row r="18" spans="1:9" x14ac:dyDescent="0.2">
      <c r="A18" s="196" t="s">
        <v>107</v>
      </c>
      <c r="B18" s="197">
        <v>585235.1</v>
      </c>
      <c r="C18" s="198">
        <v>1198506.43</v>
      </c>
      <c r="D18" s="198">
        <v>34256187.190000013</v>
      </c>
      <c r="E18" s="198">
        <v>756003.55</v>
      </c>
      <c r="F18" s="198">
        <v>155220.78</v>
      </c>
      <c r="G18" s="198">
        <v>16250807.529999997</v>
      </c>
      <c r="H18" s="198">
        <v>318867.78000000003</v>
      </c>
      <c r="I18" s="199">
        <v>53520828.359999999</v>
      </c>
    </row>
    <row r="20" spans="1:9" x14ac:dyDescent="0.2">
      <c r="B20" s="184" t="s">
        <v>120</v>
      </c>
      <c r="C20" s="184" t="s">
        <v>120</v>
      </c>
      <c r="D20" s="184" t="s">
        <v>160</v>
      </c>
      <c r="E20" s="184" t="s">
        <v>160</v>
      </c>
      <c r="F20" s="184" t="s">
        <v>160</v>
      </c>
      <c r="G20" s="184" t="s">
        <v>160</v>
      </c>
      <c r="H20" s="184" t="s">
        <v>160</v>
      </c>
    </row>
    <row r="22" spans="1:9" x14ac:dyDescent="0.2">
      <c r="A22" t="s">
        <v>121</v>
      </c>
      <c r="B22" s="207">
        <f>SUM(D6,E5,E11,E15,F15,H6,G5,G6,G8,G10,G11,G13,G14,G15,G17)</f>
        <v>45984436.549999997</v>
      </c>
    </row>
    <row r="23" spans="1:9" x14ac:dyDescent="0.2">
      <c r="A23" t="s">
        <v>122</v>
      </c>
      <c r="B23" s="207">
        <f>SUM(B6,C6,B10,B13,B14,C12)</f>
        <v>1202515.0899999999</v>
      </c>
    </row>
    <row r="24" spans="1:9" x14ac:dyDescent="0.2">
      <c r="B24" s="207"/>
    </row>
    <row r="25" spans="1:9" x14ac:dyDescent="0.2">
      <c r="A25" s="102" t="s">
        <v>123</v>
      </c>
      <c r="B25" s="208">
        <f>SUM(D16,G16)+1500000</f>
        <v>6651363.9000000004</v>
      </c>
    </row>
    <row r="26" spans="1:9" x14ac:dyDescent="0.2">
      <c r="A26" s="102" t="s">
        <v>124</v>
      </c>
      <c r="B26" s="208">
        <v>0</v>
      </c>
    </row>
    <row r="27" spans="1:9" x14ac:dyDescent="0.2">
      <c r="B27" s="207"/>
    </row>
    <row r="28" spans="1:9" x14ac:dyDescent="0.2">
      <c r="A28" s="97" t="s">
        <v>125</v>
      </c>
      <c r="B28" s="209">
        <f>SUM(E9,G9)</f>
        <v>601286.38</v>
      </c>
    </row>
    <row r="29" spans="1:9" x14ac:dyDescent="0.2">
      <c r="A29" s="97" t="s">
        <v>126</v>
      </c>
      <c r="B29" s="209">
        <f>SUM(GETPIVOTDATA("CurrentYear",$A$3,"Group","Finance","Type","Growth"))</f>
        <v>581226.43999999994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2"/>
  <customProperties>
    <customPr name="_pios_id" r:id="rId3"/>
  </customPropertie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7</vt:i4>
      </vt:variant>
    </vt:vector>
  </HeadingPairs>
  <TitlesOfParts>
    <vt:vector size="29" baseType="lpstr">
      <vt:lpstr>Group Financial performance v1</vt:lpstr>
      <vt:lpstr>Group Financial performance</vt:lpstr>
      <vt:lpstr>Group Balance sheet</vt:lpstr>
      <vt:lpstr>Group cash flow</vt:lpstr>
      <vt:lpstr>SEP 10 BS</vt:lpstr>
      <vt:lpstr>IPL Capex 2010</vt:lpstr>
      <vt:lpstr>CY differences</vt:lpstr>
      <vt:lpstr>Mar 08 rolling TWC</vt:lpstr>
      <vt:lpstr>IPL Capex 2011</vt:lpstr>
      <vt:lpstr>Operating net assets</vt:lpstr>
      <vt:lpstr>2008 ET report</vt:lpstr>
      <vt:lpstr>Mar 2008 ET report</vt:lpstr>
      <vt:lpstr>TWC-sales</vt:lpstr>
      <vt:lpstr>Mexico sales 2008</vt:lpstr>
      <vt:lpstr>Mexico BS 2008</vt:lpstr>
      <vt:lpstr>Indo</vt:lpstr>
      <vt:lpstr>PNG</vt:lpstr>
      <vt:lpstr>IPL 2008 BS</vt:lpstr>
      <vt:lpstr>DNAP 2008 BS</vt:lpstr>
      <vt:lpstr>DNA 2008 BS</vt:lpstr>
      <vt:lpstr>DN Corp 2008 BS</vt:lpstr>
      <vt:lpstr>IPL Sep 09 capex</vt:lpstr>
      <vt:lpstr>'CY differences'!Print_Area</vt:lpstr>
      <vt:lpstr>'Group Balance sheet'!Print_Area</vt:lpstr>
      <vt:lpstr>'Group cash flow'!Print_Area</vt:lpstr>
      <vt:lpstr>'Group Financial performance'!Print_Area</vt:lpstr>
      <vt:lpstr>'Group Financial performance v1'!Print_Area</vt:lpstr>
      <vt:lpstr>'IPL Capex 2011'!Print_Area</vt:lpstr>
      <vt:lpstr>'Operating net assets'!Print_Area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Williams</dc:creator>
  <cp:lastModifiedBy>Steven Lister</cp:lastModifiedBy>
  <cp:lastPrinted>2023-11-10T01:50:57Z</cp:lastPrinted>
  <dcterms:created xsi:type="dcterms:W3CDTF">1996-10-14T23:33:28Z</dcterms:created>
  <dcterms:modified xsi:type="dcterms:W3CDTF">2023-11-10T01:51:12Z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IPLCompendium Sep 10 - Final.xls</vt:lpwstr>
  </property>
  <property fmtid="{D5CDD505-2E9C-101B-9397-08002B2CF9AE}" pid="3" name="SV_QUERY_LIST_4F35BF76-6C0D-4D9B-82B2-816C12CF3733">
    <vt:lpwstr>empty_477D106A-C0D6-4607-AEBD-E2C9D60EA279</vt:lpwstr>
  </property>
</Properties>
</file>